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0" yWindow="65371" windowWidth="21120" windowHeight="12255" tabRatio="911" firstSheet="2" activeTab="11"/>
  </bookViews>
  <sheets>
    <sheet name="RiskOpportunities may06" sheetId="1" r:id="rId1"/>
    <sheet name="ETC deltas" sheetId="2" r:id="rId2"/>
    <sheet name="Contingency Analysis Summary" sheetId="3" r:id="rId3"/>
    <sheet name="Budget Summary may06" sheetId="4" r:id="rId4"/>
    <sheet name="ETC Log" sheetId="5" r:id="rId5"/>
    <sheet name="Accomplishments" sheetId="6" r:id="rId6"/>
    <sheet name="CopntingencyB" sheetId="7" r:id="rId7"/>
    <sheet name="ContingencyH" sheetId="8" r:id="rId8"/>
    <sheet name="Mpwr smry" sheetId="9" r:id="rId9"/>
    <sheet name="Milestones may06" sheetId="10" r:id="rId10"/>
    <sheet name="EIO IMPACT" sheetId="11" r:id="rId11"/>
    <sheet name="Summary Schedule may06" sheetId="12" r:id="rId12"/>
    <sheet name="BA BO Profile" sheetId="13" r:id="rId13"/>
    <sheet name="Financial History" sheetId="14" r:id="rId14"/>
  </sheets>
  <externalReferences>
    <externalReference r:id="rId17"/>
    <externalReference r:id="rId18"/>
  </externalReferences>
  <definedNames>
    <definedName name="_xlnm.Print_Area" localSheetId="12">'BA BO Profile'!$AD$70:$AL$83</definedName>
    <definedName name="_xlnm.Print_Area" localSheetId="3">'Budget Summary may06'!$C$3:$N$29</definedName>
    <definedName name="_xlnm.Print_Area" localSheetId="2">'Contingency Analysis Summary'!$C$5:$L$93</definedName>
    <definedName name="_xlnm.Print_Area" localSheetId="7">'ContingencyH'!$A$5:$AH$101</definedName>
    <definedName name="_xlnm.Print_Area" localSheetId="6">'CopntingencyB'!$A$5:$AH$102</definedName>
    <definedName name="_xlnm.Print_Area" localSheetId="10">'EIO IMPACT'!$E$1:$AF$26</definedName>
    <definedName name="_xlnm.Print_Area" localSheetId="4">'ETC Log'!$B$3:$P$33</definedName>
    <definedName name="_xlnm.Print_Area" localSheetId="13">'Financial History'!$B$3:$Q$40</definedName>
    <definedName name="_xlnm.Print_Area" localSheetId="9">'Milestones may06'!$S$1:$X$13</definedName>
    <definedName name="_xlnm.Print_Area" localSheetId="8">'Mpwr smry'!$A$1:$AO$86</definedName>
    <definedName name="_xlnm.Print_Area" localSheetId="11">'Summary Schedule may06'!$I$2:$DP$78</definedName>
    <definedName name="_xlnm.Print_Titles" localSheetId="7">'ContingencyH'!$1:$4</definedName>
    <definedName name="_xlnm.Print_Titles" localSheetId="6">'CopntingencyB'!$1:$4</definedName>
  </definedNames>
  <calcPr fullCalcOnLoad="1"/>
</workbook>
</file>

<file path=xl/sharedStrings.xml><?xml version="1.0" encoding="utf-8"?>
<sst xmlns="http://schemas.openxmlformats.org/spreadsheetml/2006/main" count="2147" uniqueCount="733">
  <si>
    <t>In-Budget Contingency</t>
  </si>
  <si>
    <t>Stellarator Core Systems</t>
  </si>
  <si>
    <t>pmb puts and takes</t>
  </si>
  <si>
    <t>contingency puts and takes</t>
  </si>
  <si>
    <t>wbs1</t>
  </si>
  <si>
    <t>wbs13</t>
  </si>
  <si>
    <t>wbs 141</t>
  </si>
  <si>
    <t>wbs142</t>
  </si>
  <si>
    <t>wbs18</t>
  </si>
  <si>
    <t>wbs82</t>
  </si>
  <si>
    <t>red</t>
  </si>
  <si>
    <t>Cum PMB</t>
  </si>
  <si>
    <t>NCSX Critical Path Summary Schedule</t>
  </si>
  <si>
    <t>FY02</t>
  </si>
  <si>
    <t>M</t>
  </si>
  <si>
    <t>J</t>
  </si>
  <si>
    <t>A</t>
  </si>
  <si>
    <t>S</t>
  </si>
  <si>
    <t>O</t>
  </si>
  <si>
    <t>N</t>
  </si>
  <si>
    <t>D</t>
  </si>
  <si>
    <t>F</t>
  </si>
  <si>
    <t xml:space="preserve"> CDR</t>
  </si>
  <si>
    <t xml:space="preserve">MC/VV PDR   </t>
  </si>
  <si>
    <t xml:space="preserve">CD-2 </t>
  </si>
  <si>
    <t xml:space="preserve">EIR </t>
  </si>
  <si>
    <t>CD-3 Start of Fab</t>
  </si>
  <si>
    <t>Modular Coil FDR</t>
  </si>
  <si>
    <t>VACUUM VESSEL</t>
  </si>
  <si>
    <t>Title I &amp; II Design</t>
  </si>
  <si>
    <t>Vessel Award</t>
  </si>
  <si>
    <t>Vessel Fab</t>
  </si>
  <si>
    <t>MODULAR COILS</t>
  </si>
  <si>
    <t>Title I &amp; II MCWF</t>
  </si>
  <si>
    <t>Twisted Racetrack Fabrication</t>
  </si>
  <si>
    <t>Type C</t>
  </si>
  <si>
    <t>Type B</t>
  </si>
  <si>
    <t>Type A</t>
  </si>
  <si>
    <t>MCWF Manufacturing Development</t>
  </si>
  <si>
    <t>Fabricate Prototype Type  "C"</t>
  </si>
  <si>
    <t xml:space="preserve"> Award Winding Form Contract  </t>
  </si>
  <si>
    <t>Fab Winding Forms</t>
  </si>
  <si>
    <t>FIELD PERIOD ASSEMBLY</t>
  </si>
  <si>
    <t>MACHINE ASSEMBLY</t>
  </si>
  <si>
    <t>Install Supports and Lower PF Coils</t>
  </si>
  <si>
    <t>Install,align, connect Field Period Assemblies</t>
  </si>
  <si>
    <t>Legend:</t>
  </si>
  <si>
    <t xml:space="preserve"> Pump Down</t>
  </si>
  <si>
    <t>Completed Task</t>
  </si>
  <si>
    <t>Connect to Ancilliary Systems</t>
  </si>
  <si>
    <t>Critical Paths</t>
  </si>
  <si>
    <t>Install Cryostat &amp; PTP</t>
  </si>
  <si>
    <t>Off critical path</t>
  </si>
  <si>
    <t>Startup Testing and E-Beam Mapping</t>
  </si>
  <si>
    <t>C1</t>
  </si>
  <si>
    <t>B6</t>
  </si>
  <si>
    <t>B5</t>
  </si>
  <si>
    <t>B4</t>
  </si>
  <si>
    <t>B3</t>
  </si>
  <si>
    <t>C2</t>
  </si>
  <si>
    <t>C3</t>
  </si>
  <si>
    <t>C4</t>
  </si>
  <si>
    <t>C5</t>
  </si>
  <si>
    <t>C6</t>
  </si>
  <si>
    <t>A1</t>
  </si>
  <si>
    <t>A3</t>
  </si>
  <si>
    <t>A4</t>
  </si>
  <si>
    <t>A5</t>
  </si>
  <si>
    <t>A6</t>
  </si>
  <si>
    <t>A2</t>
  </si>
  <si>
    <t>B1</t>
  </si>
  <si>
    <t>B2</t>
  </si>
  <si>
    <t>Modular Coil Winding Form Delivery Schedule</t>
  </si>
  <si>
    <t>Sep</t>
  </si>
  <si>
    <t>Oct</t>
  </si>
  <si>
    <t>Nov</t>
  </si>
  <si>
    <t>CD-1</t>
  </si>
  <si>
    <t>FY03</t>
  </si>
  <si>
    <t>FY04</t>
  </si>
  <si>
    <t>FY05</t>
  </si>
  <si>
    <t>FY06</t>
  </si>
  <si>
    <t>FY07</t>
  </si>
  <si>
    <t>FY08</t>
  </si>
  <si>
    <t>FY09</t>
  </si>
  <si>
    <t>12 - Vacuum Vessel Systems</t>
  </si>
  <si>
    <t>13 - Conventional Coils</t>
  </si>
  <si>
    <t>14 - Modular Coils</t>
  </si>
  <si>
    <t>15 - Structures</t>
  </si>
  <si>
    <t>16 - Coil Services</t>
  </si>
  <si>
    <t>18 - Field Period Assembly</t>
  </si>
  <si>
    <t>Contingency</t>
  </si>
  <si>
    <t>DCMA</t>
  </si>
  <si>
    <t>FY2007</t>
  </si>
  <si>
    <t>FY2008</t>
  </si>
  <si>
    <t>FY2009</t>
  </si>
  <si>
    <t>TOTAL</t>
  </si>
  <si>
    <t>19 - Stellarator Core Mgt &amp; Integr</t>
  </si>
  <si>
    <t>1  Stellarator Core Systems</t>
  </si>
  <si>
    <t>2 Heating, Fueling &amp; Vac Sys</t>
  </si>
  <si>
    <t>3 Diagnostics</t>
  </si>
  <si>
    <t>4 Electrical Power Sys</t>
  </si>
  <si>
    <t>5 Central I&amp;C Sys</t>
  </si>
  <si>
    <t>6 Facility Sys</t>
  </si>
  <si>
    <t>7 Test Cell Prep &amp; MachAssy</t>
  </si>
  <si>
    <t>8 Project Oversight &amp; Support</t>
  </si>
  <si>
    <t>subtotal</t>
  </si>
  <si>
    <t>TEC =</t>
  </si>
  <si>
    <t>BCWP</t>
  </si>
  <si>
    <t>ACWP</t>
  </si>
  <si>
    <t>Contingency balance</t>
  </si>
  <si>
    <t>CV</t>
  </si>
  <si>
    <t>dcma</t>
  </si>
  <si>
    <t>Risk</t>
  </si>
  <si>
    <t>Opportunity</t>
  </si>
  <si>
    <t>%</t>
  </si>
  <si>
    <t>PMB</t>
  </si>
  <si>
    <t>Total</t>
  </si>
  <si>
    <t xml:space="preserve"> %</t>
  </si>
  <si>
    <t>Original BA</t>
  </si>
  <si>
    <t>New BA</t>
  </si>
  <si>
    <t>BA cum old</t>
  </si>
  <si>
    <t>BA cum new</t>
  </si>
  <si>
    <t>PMB cum</t>
  </si>
  <si>
    <t xml:space="preserve"> BA</t>
  </si>
  <si>
    <t>Cum BA</t>
  </si>
  <si>
    <t>Cum BO</t>
  </si>
  <si>
    <t>NCSX Milestone Status</t>
  </si>
  <si>
    <t>CD-2</t>
  </si>
  <si>
    <t>Baseline</t>
  </si>
  <si>
    <t>float</t>
  </si>
  <si>
    <t>Forecast</t>
  </si>
  <si>
    <t>Actual</t>
  </si>
  <si>
    <t>master schedule</t>
  </si>
  <si>
    <t xml:space="preserve">Milestone float </t>
  </si>
  <si>
    <t>Level I</t>
  </si>
  <si>
    <t xml:space="preserve">1201-500   </t>
  </si>
  <si>
    <t>Level II</t>
  </si>
  <si>
    <t xml:space="preserve">Vacuum Vessel &amp; Modular Coil Prel Dsn Rvw                           </t>
  </si>
  <si>
    <t xml:space="preserve">1403-08    </t>
  </si>
  <si>
    <t xml:space="preserve">Performance Baseline Review                      </t>
  </si>
  <si>
    <t xml:space="preserve">1203-341   </t>
  </si>
  <si>
    <t xml:space="preserve">Conduct VVSA FDR                                 </t>
  </si>
  <si>
    <t xml:space="preserve">1403-51    </t>
  </si>
  <si>
    <t xml:space="preserve">Mod Coil Winding Form Final Design Review        </t>
  </si>
  <si>
    <t>1408-143.1</t>
  </si>
  <si>
    <t>Award MC Conductor Contract</t>
  </si>
  <si>
    <t xml:space="preserve">121-6-9    </t>
  </si>
  <si>
    <t xml:space="preserve">Award VV Production Vendor </t>
  </si>
  <si>
    <t xml:space="preserve">C-081      </t>
  </si>
  <si>
    <t xml:space="preserve">Award MCWF Mfg Contract       </t>
  </si>
  <si>
    <t xml:space="preserve">C-121.1    </t>
  </si>
  <si>
    <t xml:space="preserve">First MCWF Delivered                             </t>
  </si>
  <si>
    <t xml:space="preserve">131-035    </t>
  </si>
  <si>
    <t>Begin TF Coil fabrication activities</t>
  </si>
  <si>
    <t xml:space="preserve">P1-021.1   </t>
  </si>
  <si>
    <t xml:space="preserve">Complete First Mod Coil Fabrication              </t>
  </si>
  <si>
    <t xml:space="preserve">121-038.1  </t>
  </si>
  <si>
    <t xml:space="preserve">Vacuum Vessel Sectors Delivered                          </t>
  </si>
  <si>
    <t xml:space="preserve">C-501B1    </t>
  </si>
  <si>
    <t xml:space="preserve">Last MCWF Delivered                              </t>
  </si>
  <si>
    <t xml:space="preserve">141-036    </t>
  </si>
  <si>
    <t xml:space="preserve">PF Coils  Awarded                                </t>
  </si>
  <si>
    <t>S3P1-101</t>
  </si>
  <si>
    <t xml:space="preserve">Begin Assembly of First Field Period             </t>
  </si>
  <si>
    <t xml:space="preserve">All TF Coils Delivered                           </t>
  </si>
  <si>
    <t>S4P3-115</t>
  </si>
  <si>
    <t xml:space="preserve">Last Field Period Assembled                      </t>
  </si>
  <si>
    <t>7503-250</t>
  </si>
  <si>
    <t xml:space="preserve">Begin Vac Vsl Pumpdown                           </t>
  </si>
  <si>
    <t>7503-330</t>
  </si>
  <si>
    <t xml:space="preserve">Begin Cryostat Installation                      </t>
  </si>
  <si>
    <t xml:space="preserve">730.1250   </t>
  </si>
  <si>
    <t xml:space="preserve">Operational Readiness                            </t>
  </si>
  <si>
    <t xml:space="preserve">920.004    </t>
  </si>
  <si>
    <t xml:space="preserve">Begin Start-up Testing                           </t>
  </si>
  <si>
    <t xml:space="preserve">M-0120     </t>
  </si>
  <si>
    <t xml:space="preserve">CD-4                                             </t>
  </si>
  <si>
    <t xml:space="preserve">1404-109.J </t>
  </si>
  <si>
    <t>Joule</t>
  </si>
  <si>
    <t xml:space="preserve">FY04 JOULE  #1-Authorize Prototype Fab       </t>
  </si>
  <si>
    <t xml:space="preserve">1406-040   </t>
  </si>
  <si>
    <t xml:space="preserve">FY04 JOULE  #2-Begin winding on 3D surface   </t>
  </si>
  <si>
    <t xml:space="preserve">1404-110.J </t>
  </si>
  <si>
    <t xml:space="preserve">FY04 JOULE  #3-Prototype Casting Ready for Machining      </t>
  </si>
  <si>
    <t xml:space="preserve">C-081.1    </t>
  </si>
  <si>
    <t xml:space="preserve">FY04 JOULE  #4  -  CD-3 Readiness            </t>
  </si>
  <si>
    <t xml:space="preserve">FY05 JOULE  #1- VVSA, MCWF and MC Copper Conductor Awarded      </t>
  </si>
  <si>
    <t>1406-017.3</t>
  </si>
  <si>
    <t xml:space="preserve">FY05 JOULE  #2- Cmplt Assy of twisted racetrack    </t>
  </si>
  <si>
    <t>1403-20</t>
  </si>
  <si>
    <t xml:space="preserve">FY05 JOULE  #3- Mod Coil Winding Type C  FDR        </t>
  </si>
  <si>
    <t>P1-011J</t>
  </si>
  <si>
    <t xml:space="preserve">FY05 JOULE  #4- Complete Winding First MC     </t>
  </si>
  <si>
    <t>1351-195x</t>
  </si>
  <si>
    <t>P2-041joul</t>
  </si>
  <si>
    <t>mcwf-311</t>
  </si>
  <si>
    <t>FY07 JOULE Complete Winding of 1/2 of Modular Coils</t>
  </si>
  <si>
    <t>EA//EM</t>
  </si>
  <si>
    <t>EC//EM</t>
  </si>
  <si>
    <t>EE//AM</t>
  </si>
  <si>
    <t>EE//EM</t>
  </si>
  <si>
    <t>EE//SM</t>
  </si>
  <si>
    <t>EE//TB</t>
  </si>
  <si>
    <t>EM//EM</t>
  </si>
  <si>
    <t>EM//SM</t>
  </si>
  <si>
    <t>EM//TB</t>
  </si>
  <si>
    <t>ORNLEM</t>
  </si>
  <si>
    <t xml:space="preserve"> </t>
  </si>
  <si>
    <t>MWF#</t>
  </si>
  <si>
    <t xml:space="preserve">    Project Forecast</t>
  </si>
  <si>
    <t>CPI</t>
  </si>
  <si>
    <t>WBS</t>
  </si>
  <si>
    <t>Comments</t>
  </si>
  <si>
    <t>Cost</t>
  </si>
  <si>
    <t>$</t>
  </si>
  <si>
    <t>Conventional Coils</t>
  </si>
  <si>
    <t>Coil Services</t>
  </si>
  <si>
    <t>Field Period Assembly</t>
  </si>
  <si>
    <t>Stage 1: Attach Cooling,Diag, Insulation</t>
  </si>
  <si>
    <t>Stage 2: Pre-Assemble Mod Coils</t>
  </si>
  <si>
    <t>Stage 3: MC Installation</t>
  </si>
  <si>
    <t>FY06 JOULE  Complete Fabr. of one VVSA and two Mod Coils</t>
  </si>
  <si>
    <t>EAC</t>
  </si>
  <si>
    <t>BO (EAC + Cont)</t>
  </si>
  <si>
    <t>ETC</t>
  </si>
  <si>
    <t>WBS 81</t>
  </si>
  <si>
    <t>WBS 82</t>
  </si>
  <si>
    <t>ETC Updates</t>
  </si>
  <si>
    <t>BCWS</t>
  </si>
  <si>
    <t>EC//TB</t>
  </si>
  <si>
    <t>Job: 1201 - Vacuum Vessel  Prelim Dsn-**CLOSED**</t>
  </si>
  <si>
    <t>Job: 1303 -Central Solenoid Support Dsn-DAHLGREN</t>
  </si>
  <si>
    <t>Job: 1350 TF Coil Fab Prep-CHRZANOWSKI**CLOSED**</t>
  </si>
  <si>
    <t>Job: 1354 - Trim Coil Design &amp;Procurement-KALISH</t>
  </si>
  <si>
    <t>Job: 1403 - Modular Coil Final Design-WILLIAMSON</t>
  </si>
  <si>
    <t>Job: 1409 - Coil Test Stand-GETTELFINGER*CLOSED*</t>
  </si>
  <si>
    <t>Job: 1411-MCWF Fabrication S005242-HEITZENROEDER</t>
  </si>
  <si>
    <t>Job: 1412 - Complete Winding Facilities-*CLOSED*</t>
  </si>
  <si>
    <t>Job: 1415 Dim Cntrl Testing-RAFTOPOLOUS*CLOSED**</t>
  </si>
  <si>
    <t>Job: 1416-Mod Coil Type A&amp;B Final Dsn-WILLIAMSON</t>
  </si>
  <si>
    <t>Job: 1459 - Mod Coil Fabr.Punch List-CHRZANOWSKI</t>
  </si>
  <si>
    <t>Job: 1801-Field Period Assly -CHRZANOWSKI (ORNL)</t>
  </si>
  <si>
    <t>Job: 1901 - Stellarator Core Mngtt&amp;Integr-NELSON</t>
  </si>
  <si>
    <t>Job: 2101 - Fueling Systems</t>
  </si>
  <si>
    <t>Job: 2501 - Neutral Beam Refurbishment-STEVENSON</t>
  </si>
  <si>
    <t>Job: 6201 - Cryogenic Systems</t>
  </si>
  <si>
    <t>Job: 6301 - Utility Systems</t>
  </si>
  <si>
    <t>Job: 8101 - Project Management &amp; Control-NEILSON</t>
  </si>
  <si>
    <t>Job: 8202 - Engr Mgmt &amp; Sys Eng Support-REIERSEN</t>
  </si>
  <si>
    <t>Job: 8998 - Allocations</t>
  </si>
  <si>
    <t>ETC Increment</t>
  </si>
  <si>
    <t>Total ETC</t>
  </si>
  <si>
    <t>Prior FY</t>
  </si>
  <si>
    <t>Job: 1202 - Vacuum Vessel R&amp;D</t>
  </si>
  <si>
    <t xml:space="preserve">Job: 1206 - VV Field Weld Joint R&amp;D-**CLOSED**  </t>
  </si>
  <si>
    <t>Job: 1203 - Vacuum Vessel Final Dsn-**CLOSED**</t>
  </si>
  <si>
    <t xml:space="preserve">Job: 1250 - Vacuum Vessel Fabrication--**CLOSED**    </t>
  </si>
  <si>
    <t xml:space="preserve">Job: 1301 - TF Design-KALISH**CLOSED**          </t>
  </si>
  <si>
    <t xml:space="preserve">Job: 1351 - TF Coil Fabr Supplies-KALISH        </t>
  </si>
  <si>
    <t xml:space="preserve">Job: 1361 -  TF Fabrication-KALISH              </t>
  </si>
  <si>
    <t xml:space="preserve">Job: 1302 - PF  Design -KALISH                  </t>
  </si>
  <si>
    <t xml:space="preserve">Job: 1352 - PF Coil Procurement-KALISH          </t>
  </si>
  <si>
    <t xml:space="preserve">Job: 1353 - CS Structure Procurement-DAHLGREN   </t>
  </si>
  <si>
    <t>Job: 1355 - WBS 13 I&amp;C Proc &amp;</t>
  </si>
  <si>
    <t xml:space="preserve">Job: 1401 - Mod Coil  Prel.Dsn**CLOSED**        </t>
  </si>
  <si>
    <t xml:space="preserve">Job: 1402 - Mod.Coil Analyses**CLOSED**         </t>
  </si>
  <si>
    <t xml:space="preserve">Job: 1413 -MCWF Fracture Analysis-**CLOSED**    </t>
  </si>
  <si>
    <t xml:space="preserve">Job: 1405-Mod Coil Winding R&amp;D Prep-**CLOSED**  </t>
  </si>
  <si>
    <t xml:space="preserve">Job: 1407 -Mod Coil Winding Facility-**CLOSED** </t>
  </si>
  <si>
    <t>Job: 1406 - Mod. Coil Winding</t>
  </si>
  <si>
    <t xml:space="preserve">Job: 1410 MC Twisted Racetrack Fabr-**CLOSED**  </t>
  </si>
  <si>
    <t xml:space="preserve">Job: 1414 Coil Testing-Gettelfinger**CLOSED**   </t>
  </si>
  <si>
    <t xml:space="preserve">Job: 1419-Winding Fac. Mods-CHRZANOWSKI*CLOSED* </t>
  </si>
  <si>
    <t xml:space="preserve">Job: 1451 - Mod Coil Winding-CHRZANOWSKI        </t>
  </si>
  <si>
    <t xml:space="preserve">Job: 1421-Mod Coil Interface Design-WILLIAMSON  </t>
  </si>
  <si>
    <t xml:space="preserve">Job: 1431 - Mod. Coil Interface Hardware-DUDEK  </t>
  </si>
  <si>
    <t xml:space="preserve">Job: 1804-Metrology Hardware-RAFTOPOULOS        </t>
  </si>
  <si>
    <t xml:space="preserve">Job: 1803- FP Assy Toolg/Constructability-BROWN </t>
  </si>
  <si>
    <t>Job: 1805 -FP Assy H/W&amp;Fixture</t>
  </si>
  <si>
    <t xml:space="preserve">Job: 1802 - FP Assy Oversight&amp;Support-VIOLA     </t>
  </si>
  <si>
    <t xml:space="preserve">Job: 1501 - Coil Structures  Design- DAHLGREN   </t>
  </si>
  <si>
    <t xml:space="preserve">Job: 1601 - Coil Services  Design-WILLIAMSON    </t>
  </si>
  <si>
    <t xml:space="preserve">Job: 1751 - Cryostat Procurement                </t>
  </si>
  <si>
    <t xml:space="preserve">Job: 1752 - Base Support Structure Procurement  </t>
  </si>
  <si>
    <t xml:space="preserve">Job: 2001-VPS Gas&amp; Cond Sys Oversight-BLANCHARD </t>
  </si>
  <si>
    <t xml:space="preserve">Job: 2201 - Vacuum Pumping Systems              </t>
  </si>
  <si>
    <t xml:space="preserve">Job: 3101 Magnetic Diagnostics                  </t>
  </si>
  <si>
    <t>Job: 3601 - Edge and Divertor</t>
  </si>
  <si>
    <t xml:space="preserve">Job: 3801 - Electron Beam Mapping               </t>
  </si>
  <si>
    <t xml:space="preserve">Job: 3901 - Diagnostics sys Integration-JOHNSON </t>
  </si>
  <si>
    <t xml:space="preserve">Job: 4101 - AC Power-RAMAKRISHNAN               </t>
  </si>
  <si>
    <t xml:space="preserve">Job: 4301 - DC Systems-RAMAKRISHNAN             </t>
  </si>
  <si>
    <t xml:space="preserve">Job: 4401 - Control &amp; Protection-RAMAKRISHNAN   </t>
  </si>
  <si>
    <t xml:space="preserve">Job: 4501 - Power Sys Dsn &amp; Integr-RAMAKRISHNAN </t>
  </si>
  <si>
    <t xml:space="preserve">Job: 4601 - FCPC Bldg Mods-RAMAKRISHNAN         </t>
  </si>
  <si>
    <t xml:space="preserve">Job: 5101 - TCP/IP Infrastructure Systems       </t>
  </si>
  <si>
    <t>Job: 5401 - Facility Timing &amp;</t>
  </si>
  <si>
    <t xml:space="preserve">Job: 5601 - Central Safety Interlock Systems    </t>
  </si>
  <si>
    <t>Job: 5801 -Central I&amp;C Integr</t>
  </si>
  <si>
    <t xml:space="preserve">Job: 6163 - Facility Systems Support FY04       </t>
  </si>
  <si>
    <t xml:space="preserve">Job: 6501 - Facility Systems Integration-DUDEK  </t>
  </si>
  <si>
    <t>Job: 7101 - Shield Wall Modif</t>
  </si>
  <si>
    <t>Job: 7301 - Platform Design &amp;</t>
  </si>
  <si>
    <t xml:space="preserve">Job: 7401 - TC Prep &amp; Mach Assy Planning-PERRY  </t>
  </si>
  <si>
    <t xml:space="preserve">Job: 7601 - Tooling Design &amp; Fabrication        </t>
  </si>
  <si>
    <t xml:space="preserve">Job: 8102 - NCSX MIE Management ORNL-LYON       </t>
  </si>
  <si>
    <t xml:space="preserve">Job: 8203 - Design Integration-BROWN            </t>
  </si>
  <si>
    <t xml:space="preserve">Job: 8204 - Systems Analysis-BROOKS             </t>
  </si>
  <si>
    <t xml:space="preserve">Job: 8205 - Dimensional Control Coordination    </t>
  </si>
  <si>
    <t xml:space="preserve">Job: 8401 - Project Physcis-ZARNSTORFF          </t>
  </si>
  <si>
    <t xml:space="preserve">Job: 8402 - Project Physics MIE ORNL-LYON       </t>
  </si>
  <si>
    <t xml:space="preserve">Job: 8501 - Integrated Systems Testing          </t>
  </si>
  <si>
    <t>FY06 CV plus future Contingency</t>
  </si>
  <si>
    <t xml:space="preserve">Job: 1204-VV Sys Procurements (non VVSA)-DUDEK   </t>
  </si>
  <si>
    <t xml:space="preserve">Job: 1404-MCWF R&amp;D &amp; 1st Prod Casting**CLOSED**  </t>
  </si>
  <si>
    <t xml:space="preserve">Job: 1408-Mod Coil Winding Supplies-CHRZANOWSKI  </t>
  </si>
  <si>
    <t xml:space="preserve">Job: 1460  3rd Winding Fixture-CHRZANOWSKI       </t>
  </si>
  <si>
    <t>Job: 1550 - Coil Structures Procurement -DAHLGREN</t>
  </si>
  <si>
    <t>Job: 1701-Cryost&amp;Base Sprt Strct Dsn-GETTLEFINGER</t>
  </si>
  <si>
    <t>Job: 1806 - FP Assembly specs &amp; dwgs</t>
  </si>
  <si>
    <t xml:space="preserve">Job: 1810 - Field Period Assembly-VIOLA          </t>
  </si>
  <si>
    <t>Job: 5201 - I&amp;C Systems</t>
  </si>
  <si>
    <t>Job: 5301 - Data Acquisition</t>
  </si>
  <si>
    <t xml:space="preserve">Job: 5501 - Real Time Control System                 </t>
  </si>
  <si>
    <t>Job: 6101 - Water Systems</t>
  </si>
  <si>
    <t xml:space="preserve">Job: 7501 - Construction Support Crew                </t>
  </si>
  <si>
    <t>Job: 7503 - Machine Assembly</t>
  </si>
  <si>
    <t>JOB</t>
  </si>
  <si>
    <t>In-Budget
Cont. %</t>
  </si>
  <si>
    <t>In-Budget
Contingency</t>
  </si>
  <si>
    <t>Add'l
Contingency</t>
  </si>
  <si>
    <t>Free balance contingency =</t>
  </si>
  <si>
    <t>Vacuum Vessel</t>
  </si>
  <si>
    <t>Modular Coils</t>
  </si>
  <si>
    <t>Coil Structures</t>
  </si>
  <si>
    <t>Cryostat &amp; Base</t>
  </si>
  <si>
    <t>Stellarator Core Mgt. / Integration</t>
  </si>
  <si>
    <t>Fueling &amp; Vacuum</t>
  </si>
  <si>
    <t>Diagnsotics</t>
  </si>
  <si>
    <t>Power Systems</t>
  </si>
  <si>
    <t>Central I&amp;C / Data Aq.</t>
  </si>
  <si>
    <t>Facility Systems</t>
  </si>
  <si>
    <t>Test Cell Prep / Machine Assembly</t>
  </si>
  <si>
    <t>Project Mgt. &amp; Integration</t>
  </si>
  <si>
    <t>In-Budget
Contingency/Risk</t>
  </si>
  <si>
    <t>BA &amp; c/o</t>
  </si>
  <si>
    <t>BCWS + Cont</t>
  </si>
  <si>
    <t>NCSX ETC Log</t>
  </si>
  <si>
    <t>Log #</t>
  </si>
  <si>
    <t>Job</t>
  </si>
  <si>
    <t>Title</t>
  </si>
  <si>
    <t>Description</t>
  </si>
  <si>
    <t>Respon.</t>
  </si>
  <si>
    <t>Schedule</t>
  </si>
  <si>
    <t>Cost + Increase/ -Decrease ($K)</t>
  </si>
  <si>
    <t>Disposition /Action</t>
  </si>
  <si>
    <t>Power systems WBS 452</t>
  </si>
  <si>
    <t>Diagnostics AC power support</t>
  </si>
  <si>
    <t>Raki</t>
  </si>
  <si>
    <t>Per M.Williams and Brent Stratton on 10/12/06. The scope was reduced – only keeping MINIMUM ELECTRICAL SUPPORT/LOAD NEEDS FOR WBS3(Diagnostics) for First Plasma:</t>
  </si>
  <si>
    <t>Control and Protection WBS 441</t>
  </si>
  <si>
    <t>Interlocks &amp; control</t>
  </si>
  <si>
    <t>Reviewed the scope of work based on more manual overrides. However the conceived approach to new design will have to be reviewed and approved in design forums – from protection point of view.</t>
  </si>
  <si>
    <t>The scope was reduced as follows:</t>
  </si>
  <si>
    <t>MINIMUM PLC changes for First Plasma:</t>
  </si>
  <si>
    <t>a)    No new PLCs will be procured</t>
  </si>
  <si>
    <t>b)    No redundant PLC will be procured/installed</t>
  </si>
  <si>
    <t>However, Will retain funding needed for a) design of the minimum interlock systems, b) Installing interlock system, c) Complete documentation of the PLC system, d) programming , e) cabling as required and f) pre-commissioning tests</t>
  </si>
  <si>
    <t>AC Power</t>
  </si>
  <si>
    <t>Auxiliary AC Power Systems WBS 411 tasks 411-1-100,3-2, 3-4, 3-6, 3-8</t>
  </si>
  <si>
    <t>Not MIE Cost per Accounting/Winkler. Transfer to GPP.</t>
  </si>
  <si>
    <t xml:space="preserve">Experimental AC Power systems WBS 412 </t>
  </si>
  <si>
    <t>WBS 4 and 7</t>
  </si>
  <si>
    <t>AC power upgrades at C-site in support of experimental projects-NCSX</t>
  </si>
  <si>
    <t>completed scope</t>
  </si>
  <si>
    <t>GPP determination being performed by accounting. Winkler/Hawyrluk to render decision on transferring to GPP.</t>
  </si>
  <si>
    <t>Winkler</t>
  </si>
  <si>
    <t>Modular coil hardware design and procurement</t>
  </si>
  <si>
    <t>Williamson</t>
  </si>
  <si>
    <t>Field Period assy station 2</t>
  </si>
  <si>
    <t>Viola</t>
  </si>
  <si>
    <t>FY07/08</t>
  </si>
  <si>
    <t>1421</t>
  </si>
  <si>
    <t>Mod coil interface design</t>
  </si>
  <si>
    <t>PF coil procurement</t>
  </si>
  <si>
    <t>Kalish</t>
  </si>
  <si>
    <t>Coil Structure procurement</t>
  </si>
  <si>
    <t>Dahlgren</t>
  </si>
  <si>
    <t>DY07/08</t>
  </si>
  <si>
    <t>all</t>
  </si>
  <si>
    <t>PPPL rates for FY07</t>
  </si>
  <si>
    <t>metrology hardware</t>
  </si>
  <si>
    <t>reclassfied as indriect engr burden</t>
  </si>
  <si>
    <t>dudek</t>
  </si>
  <si>
    <t>Coil winding</t>
  </si>
  <si>
    <t>chrzanowski</t>
  </si>
  <si>
    <t>System Engineering</t>
  </si>
  <si>
    <t>reiersen</t>
  </si>
  <si>
    <t>WBS 6</t>
  </si>
  <si>
    <t>Once through bakeout 150 C</t>
  </si>
  <si>
    <t>Proj Mgt</t>
  </si>
  <si>
    <t>Neilson Strykowsky</t>
  </si>
  <si>
    <t>raftopolous,brooks,brown,simmons,</t>
  </si>
  <si>
    <t>ECP-53</t>
  </si>
  <si>
    <t>ECP-53 &amp; Risk</t>
  </si>
  <si>
    <t>?</t>
  </si>
  <si>
    <t>Stage 5: Assemble 1st Period</t>
  </si>
  <si>
    <t>Stage 5: Assemble 2nd Period</t>
  </si>
  <si>
    <t>Stage 5: Assemble 3rd Period</t>
  </si>
  <si>
    <t>NCSX MIE FINANCIAL SUMMARY</t>
  </si>
  <si>
    <t>MIE BA</t>
  </si>
  <si>
    <t>TOTAL TEC</t>
  </si>
  <si>
    <t>BA</t>
  </si>
  <si>
    <t>FY03/04 carryover</t>
  </si>
  <si>
    <t>Initial Fin Plan</t>
  </si>
  <si>
    <t>DOE increment</t>
  </si>
  <si>
    <t>Jan Fin Plan</t>
  </si>
  <si>
    <t>May Fin Plan</t>
  </si>
  <si>
    <t>July Fin Plan</t>
  </si>
  <si>
    <t>Subtotal FY05 BA</t>
  </si>
  <si>
    <t>Budget (incl c/o)</t>
  </si>
  <si>
    <t>Thru FY05</t>
  </si>
  <si>
    <t>FY05 Carryover</t>
  </si>
  <si>
    <t>Increment</t>
  </si>
  <si>
    <t>1% holdback</t>
  </si>
  <si>
    <t>Net Budget</t>
  </si>
  <si>
    <t>ORNL</t>
  </si>
  <si>
    <t>PPPL</t>
  </si>
  <si>
    <t>DCMA contract between DOE-PSO and Chicago. Managed by DOE-PSO.</t>
  </si>
  <si>
    <t>MIE COST</t>
  </si>
  <si>
    <t>d-site power sys</t>
  </si>
  <si>
    <t>D-Site pwr systems  reclassified as non MIE &amp; transferred to non MIE acount. DOE provided add'l BA in recognition of this being an upgrade.</t>
  </si>
  <si>
    <t>dcma credit</t>
  </si>
  <si>
    <t>PPPL cost accounting credit applied. Reciprical cost applied to QA organization recovered as indirect cost for DCMA services.</t>
  </si>
  <si>
    <t>subtotal PPPL</t>
  </si>
  <si>
    <t xml:space="preserve">DCMA  </t>
  </si>
  <si>
    <t>Jun Fin Plan</t>
  </si>
  <si>
    <t>CUM Through FY06</t>
  </si>
  <si>
    <t>FY06 Carryover</t>
  </si>
  <si>
    <t>Initial fin plan</t>
  </si>
  <si>
    <t>Nov Fin Plan req</t>
  </si>
  <si>
    <t>Thru FY06</t>
  </si>
  <si>
    <t>(includes DCMA)</t>
  </si>
  <si>
    <t>pmb (excludes DCMA)</t>
  </si>
  <si>
    <t>High Confidence Contingency increment</t>
  </si>
  <si>
    <t>Critical path need date</t>
  </si>
  <si>
    <t>WBS1</t>
  </si>
  <si>
    <t>ACT ID</t>
  </si>
  <si>
    <t>1 - 1 - Stellarator Core Systems</t>
  </si>
  <si>
    <t>2 - 2 - Plasma Heating  Fueling &amp; Vac Systems</t>
  </si>
  <si>
    <t>3 - 3 - Diagnostics</t>
  </si>
  <si>
    <t>4 - 4 - Electrical Power Systems</t>
  </si>
  <si>
    <t>5 - 5 - Central I&amp;C Systems</t>
  </si>
  <si>
    <t>6 - 6 - Facility Systems</t>
  </si>
  <si>
    <t>7 - 7 - Test Cell Preparation and  Machine Assy</t>
  </si>
  <si>
    <t>8 - 8 - Project Oversight and Support</t>
  </si>
  <si>
    <t>C - Contingency</t>
  </si>
  <si>
    <t>Add'l contingency Techs</t>
  </si>
  <si>
    <t>Techs (incl baseline Contingency)</t>
  </si>
  <si>
    <t>Engrs (incl baseline contingency)</t>
  </si>
  <si>
    <t>add'l contingency techs</t>
  </si>
  <si>
    <t>BCWR</t>
  </si>
  <si>
    <t xml:space="preserve">ETC Updates </t>
  </si>
  <si>
    <t>EAC             (ECP-53)</t>
  </si>
  <si>
    <t>17 - Cryostat and Base Suprt Struct</t>
  </si>
  <si>
    <t>Power systems-Diagnostic AC power support</t>
  </si>
  <si>
    <t>Scope reduced keeping only minimum elect support for first plasma diagnostics</t>
  </si>
  <si>
    <t>Control &amp; protection-Interlocks and control</t>
  </si>
  <si>
    <t>Auxiliary AC power systems</t>
  </si>
  <si>
    <t>Classified as infrastructure improvement. To be proposed in GPP directives.</t>
  </si>
  <si>
    <t>Completion of design plus hardware procurements</t>
  </si>
  <si>
    <t>Modular coil interface</t>
  </si>
  <si>
    <t>ALL</t>
  </si>
  <si>
    <t>FY07 PPPL rate adjustment</t>
  </si>
  <si>
    <t>re-alignment of G&amp;A,Site,MHX, and burden rates based on final FY07 budget base.</t>
  </si>
  <si>
    <t>Modular Coil Fabrication</t>
  </si>
  <si>
    <t>ETC based on current costing trends</t>
  </si>
  <si>
    <t>Re-estimate of required support amongst MIE, research preparations and QPS</t>
  </si>
  <si>
    <t>Project Engineering</t>
  </si>
  <si>
    <t>Recognizes additional support for metrology and design integration.</t>
  </si>
  <si>
    <t>Design of interface method. Include R&amp;D and materials.</t>
  </si>
  <si>
    <t>Based on more manual overrides. To be addressed in individual design review forums.</t>
  </si>
  <si>
    <t>Project Management</t>
  </si>
  <si>
    <t>Modular coil fabrication-hardware and assy dwgs</t>
  </si>
  <si>
    <t>PF Coil Procurement</t>
  </si>
  <si>
    <t>Coil Structure Procurement</t>
  </si>
  <si>
    <t>Station 2 field period assembly</t>
  </si>
  <si>
    <t>Preliminary assembly sequence and steps quantified. Fit-up trials to be pursued over the next few months to help better quantify cost and schedule impact.</t>
  </si>
  <si>
    <t>Modular coil fabrication</t>
  </si>
  <si>
    <t>FY08 manpower support of design integration and metrology need to be re-evaluated based on this year's Field Period Assembly experience.</t>
  </si>
  <si>
    <t>Preliminary budgetary quotes being evaluated with Everson/Tesla</t>
  </si>
  <si>
    <t>Initial budgetary quotes being evaluated relative to design simplification.</t>
  </si>
  <si>
    <t>Additional cost if current production cost continues through to completion.</t>
  </si>
  <si>
    <t>Once-through bake out system</t>
  </si>
  <si>
    <t>Adequacy of current approach in question.</t>
  </si>
  <si>
    <t>Working to quantify the schedule impact of the various design options and narrow our uncertainties.  We will select the MC interface design in January and update our schedule estimates at that time.  The number of stations and shifts will be established consistent with overall schedule constraints</t>
  </si>
  <si>
    <t xml:space="preserve">1201 </t>
  </si>
  <si>
    <t xml:space="preserve">1202 </t>
  </si>
  <si>
    <t xml:space="preserve">1203 </t>
  </si>
  <si>
    <t xml:space="preserve">1204 </t>
  </si>
  <si>
    <t xml:space="preserve">1206 </t>
  </si>
  <si>
    <t xml:space="preserve">1250 </t>
  </si>
  <si>
    <t xml:space="preserve">1301 </t>
  </si>
  <si>
    <t xml:space="preserve">1302 </t>
  </si>
  <si>
    <t xml:space="preserve">1303 </t>
  </si>
  <si>
    <t xml:space="preserve">1350 </t>
  </si>
  <si>
    <t xml:space="preserve">1351 </t>
  </si>
  <si>
    <t xml:space="preserve">1352 </t>
  </si>
  <si>
    <t xml:space="preserve">1353 </t>
  </si>
  <si>
    <t xml:space="preserve">1354 </t>
  </si>
  <si>
    <t xml:space="preserve">1355 </t>
  </si>
  <si>
    <t xml:space="preserve">1361 </t>
  </si>
  <si>
    <t xml:space="preserve">1401 </t>
  </si>
  <si>
    <t xml:space="preserve">1402 </t>
  </si>
  <si>
    <t xml:space="preserve">1403 </t>
  </si>
  <si>
    <t xml:space="preserve">1404 </t>
  </si>
  <si>
    <t xml:space="preserve">1405 </t>
  </si>
  <si>
    <t xml:space="preserve">1406 </t>
  </si>
  <si>
    <t xml:space="preserve">1407 </t>
  </si>
  <si>
    <t xml:space="preserve">1408 </t>
  </si>
  <si>
    <t xml:space="preserve">1409 </t>
  </si>
  <si>
    <t xml:space="preserve">1410 </t>
  </si>
  <si>
    <t xml:space="preserve">1411 </t>
  </si>
  <si>
    <t xml:space="preserve">1412 </t>
  </si>
  <si>
    <t xml:space="preserve">1413 </t>
  </si>
  <si>
    <t xml:space="preserve">1414 </t>
  </si>
  <si>
    <t xml:space="preserve">1415 </t>
  </si>
  <si>
    <t xml:space="preserve">1416 </t>
  </si>
  <si>
    <t xml:space="preserve">1419 </t>
  </si>
  <si>
    <t xml:space="preserve">1421 </t>
  </si>
  <si>
    <t xml:space="preserve">1431 </t>
  </si>
  <si>
    <t xml:space="preserve">1451 </t>
  </si>
  <si>
    <t xml:space="preserve">1459 </t>
  </si>
  <si>
    <t xml:space="preserve">1460 </t>
  </si>
  <si>
    <t xml:space="preserve">1501 </t>
  </si>
  <si>
    <t xml:space="preserve">1550 </t>
  </si>
  <si>
    <t xml:space="preserve">1601 </t>
  </si>
  <si>
    <t xml:space="preserve">1701 </t>
  </si>
  <si>
    <t xml:space="preserve">1751 </t>
  </si>
  <si>
    <t xml:space="preserve">1752 </t>
  </si>
  <si>
    <t xml:space="preserve">1801 </t>
  </si>
  <si>
    <t xml:space="preserve">1802 </t>
  </si>
  <si>
    <t xml:space="preserve">1803 </t>
  </si>
  <si>
    <t xml:space="preserve">1804 </t>
  </si>
  <si>
    <t xml:space="preserve">1805 </t>
  </si>
  <si>
    <t xml:space="preserve">1806 </t>
  </si>
  <si>
    <t xml:space="preserve">1810 </t>
  </si>
  <si>
    <t xml:space="preserve">1901 </t>
  </si>
  <si>
    <t xml:space="preserve">2001 </t>
  </si>
  <si>
    <t xml:space="preserve">2101 </t>
  </si>
  <si>
    <t xml:space="preserve">2201 </t>
  </si>
  <si>
    <t xml:space="preserve">2501 </t>
  </si>
  <si>
    <t xml:space="preserve">3101 </t>
  </si>
  <si>
    <t xml:space="preserve">3601 </t>
  </si>
  <si>
    <t xml:space="preserve">3801 </t>
  </si>
  <si>
    <t xml:space="preserve">3901 </t>
  </si>
  <si>
    <t xml:space="preserve">4101 </t>
  </si>
  <si>
    <t xml:space="preserve">4301 </t>
  </si>
  <si>
    <t xml:space="preserve">4401 </t>
  </si>
  <si>
    <t xml:space="preserve">4501 </t>
  </si>
  <si>
    <t xml:space="preserve">4601 </t>
  </si>
  <si>
    <t xml:space="preserve">5101 </t>
  </si>
  <si>
    <t xml:space="preserve">5201 </t>
  </si>
  <si>
    <t xml:space="preserve">5301 </t>
  </si>
  <si>
    <t xml:space="preserve">5401 </t>
  </si>
  <si>
    <t xml:space="preserve">5501 </t>
  </si>
  <si>
    <t xml:space="preserve">5601 </t>
  </si>
  <si>
    <t xml:space="preserve">5801 </t>
  </si>
  <si>
    <t xml:space="preserve">6101 </t>
  </si>
  <si>
    <t xml:space="preserve">6163 </t>
  </si>
  <si>
    <t xml:space="preserve">6201 </t>
  </si>
  <si>
    <t xml:space="preserve">6301 </t>
  </si>
  <si>
    <t xml:space="preserve">6501 </t>
  </si>
  <si>
    <t xml:space="preserve">7101 </t>
  </si>
  <si>
    <t xml:space="preserve">7301 </t>
  </si>
  <si>
    <t xml:space="preserve">7401 </t>
  </si>
  <si>
    <t xml:space="preserve">7501 </t>
  </si>
  <si>
    <t xml:space="preserve">7503 </t>
  </si>
  <si>
    <t xml:space="preserve">7601 </t>
  </si>
  <si>
    <t xml:space="preserve">8101 </t>
  </si>
  <si>
    <t xml:space="preserve">8102 </t>
  </si>
  <si>
    <t xml:space="preserve">8202 </t>
  </si>
  <si>
    <t xml:space="preserve">8203 </t>
  </si>
  <si>
    <t xml:space="preserve">8204 </t>
  </si>
  <si>
    <t xml:space="preserve">8205 </t>
  </si>
  <si>
    <t xml:space="preserve">8401 </t>
  </si>
  <si>
    <t xml:space="preserve">8402 </t>
  </si>
  <si>
    <t xml:space="preserve">8501 </t>
  </si>
  <si>
    <t xml:space="preserve">8998 </t>
  </si>
  <si>
    <t>bcwp thru 11/30/06</t>
  </si>
  <si>
    <t>BCWR 12/1/067</t>
  </si>
  <si>
    <t>BUDGET</t>
  </si>
  <si>
    <t>funding =</t>
  </si>
  <si>
    <t>spent 06+ bcwr +cont =</t>
  </si>
  <si>
    <t>spent oct + nov =</t>
  </si>
  <si>
    <t>over/under =</t>
  </si>
  <si>
    <t>Free balance plus add'l contingency =</t>
  </si>
  <si>
    <t>BCWR (from 12/1/06)</t>
  </si>
  <si>
    <t>ETC (from 12/1/06)</t>
  </si>
  <si>
    <t>Cost Through 11/30/06</t>
  </si>
  <si>
    <r>
      <t xml:space="preserve">EAC </t>
    </r>
    <r>
      <rPr>
        <b/>
        <sz val="9"/>
        <rFont val="Arial"/>
        <family val="2"/>
      </rPr>
      <t>(ECP-53)</t>
    </r>
  </si>
  <si>
    <t>Known Risks</t>
  </si>
  <si>
    <t>High Confidence Contingency less Known Risks</t>
  </si>
  <si>
    <t>Total
Contingency</t>
  </si>
  <si>
    <t>Total Conting. %</t>
  </si>
  <si>
    <r>
      <t xml:space="preserve">Activities </t>
    </r>
    <r>
      <rPr>
        <sz val="14"/>
        <rFont val="Arial"/>
        <family val="2"/>
      </rPr>
      <t>(Job or WBS numbers)</t>
    </r>
  </si>
  <si>
    <t>High Risk</t>
  </si>
  <si>
    <t>Mod. Coil Winding Ops (1408, 1451, 1459, 1460)</t>
  </si>
  <si>
    <t>Field Period Assy Ops. (1810, 1802, 1805, 1804)</t>
  </si>
  <si>
    <t>Machine Assy. (7)</t>
  </si>
  <si>
    <t>Medium Risk</t>
  </si>
  <si>
    <t>VV System Procurements (1204)</t>
  </si>
  <si>
    <t>PF &amp; Trim Coils (1302, 1303, 1352, 1354, 1353, 1355)</t>
  </si>
  <si>
    <t>Mod. Coil Design &amp; Hdwe. (1416, 1421, 1431)</t>
  </si>
  <si>
    <t>Field Period Assy. Design (1803, 1806)</t>
  </si>
  <si>
    <t>Coil Structures (15)</t>
  </si>
  <si>
    <t>Coil Services (16)</t>
  </si>
  <si>
    <t>Cryostat &amp; Base (17)</t>
  </si>
  <si>
    <t>Stellarator Core Design Integration</t>
  </si>
  <si>
    <t>System Engineering (82)</t>
  </si>
  <si>
    <t>Startup (85)</t>
  </si>
  <si>
    <t>Low Risk</t>
  </si>
  <si>
    <t>TF Fabrication (1351, 1361)</t>
  </si>
  <si>
    <t>MCWF Fabrication (1411)</t>
  </si>
  <si>
    <t>Fueling &amp; Vacuum (2)</t>
  </si>
  <si>
    <t>Diagnostics (3)</t>
  </si>
  <si>
    <t>Power Systems (4)</t>
  </si>
  <si>
    <t>Central I&amp;C / Data Aq. (5)</t>
  </si>
  <si>
    <t>Facility Systems (6)</t>
  </si>
  <si>
    <t>Management (81)</t>
  </si>
  <si>
    <t xml:space="preserve">Total Work </t>
  </si>
  <si>
    <r>
      <t>Schedule</t>
    </r>
    <r>
      <rPr>
        <sz val="10"/>
        <rFont val="Arial"/>
        <family val="0"/>
      </rPr>
      <t xml:space="preserve"> (could it be done on time)</t>
    </r>
  </si>
  <si>
    <r>
      <t>Technical</t>
    </r>
    <r>
      <rPr>
        <sz val="10"/>
        <rFont val="Arial"/>
        <family val="0"/>
      </rPr>
      <t xml:space="preserve"> (could it be build)</t>
    </r>
  </si>
  <si>
    <r>
      <t xml:space="preserve">Cost </t>
    </r>
    <r>
      <rPr>
        <sz val="10"/>
        <rFont val="Arial"/>
        <family val="0"/>
      </rPr>
      <t>(Is budget sufficient)</t>
    </r>
  </si>
  <si>
    <t>Field Period assy station 3</t>
  </si>
  <si>
    <t>Field Period assy station 4</t>
  </si>
  <si>
    <t>Field Period assy station 5</t>
  </si>
  <si>
    <t>PF Coil Fabrication</t>
  </si>
  <si>
    <t>Coil Structure Fabrication</t>
  </si>
  <si>
    <t>Cryostat Fabrication</t>
  </si>
  <si>
    <t>Vacuum Vessel Fabrication (Vendor)</t>
  </si>
  <si>
    <t>Modular Coil Winding Forms (Vendor)</t>
  </si>
  <si>
    <t>TF Coil Fabrication (Vendor)</t>
  </si>
  <si>
    <t>Final Machine Assay</t>
  </si>
  <si>
    <t xml:space="preserve">Field Period Assy </t>
  </si>
  <si>
    <t>Modular Coil Winding Fabr (PPPL)</t>
  </si>
  <si>
    <t>MC Winding Design &amp; hardware fab</t>
  </si>
  <si>
    <t>Total free balance contingency</t>
  </si>
  <si>
    <t>Risk Assessment %</t>
  </si>
  <si>
    <t>Gross Contingency $</t>
  </si>
  <si>
    <t>B</t>
  </si>
  <si>
    <t>C</t>
  </si>
  <si>
    <t>A+B+C</t>
  </si>
  <si>
    <t>E</t>
  </si>
  <si>
    <t>G</t>
  </si>
  <si>
    <t>H</t>
  </si>
  <si>
    <t>I</t>
  </si>
  <si>
    <t>E  x  D</t>
  </si>
  <si>
    <t>F + C</t>
  </si>
  <si>
    <t>TEC=</t>
  </si>
  <si>
    <t xml:space="preserve">BCWR  </t>
  </si>
  <si>
    <t>BCWR (ECP-53)</t>
  </si>
  <si>
    <t>A+B</t>
  </si>
  <si>
    <t>Available Contingency</t>
  </si>
  <si>
    <t>G /  (A+B+C)</t>
  </si>
  <si>
    <t>F / (A+B+C)</t>
  </si>
  <si>
    <t>Total Budgeted Contingency</t>
  </si>
  <si>
    <t>Total Budgeted  contingency</t>
  </si>
  <si>
    <t>F x(4989-C)/sumF</t>
  </si>
  <si>
    <t>Baseline Contingency Analysis</t>
  </si>
  <si>
    <t>G + C</t>
  </si>
  <si>
    <t>High Level Contingency Analysis</t>
  </si>
  <si>
    <t>Aditional Contingency</t>
  </si>
  <si>
    <t>Cost YTD =</t>
  </si>
  <si>
    <t>BCWR =</t>
  </si>
  <si>
    <t>DCMA =</t>
  </si>
  <si>
    <t>ETC= BCWR + Known Risks</t>
  </si>
  <si>
    <t>Total High Level Contingency</t>
  </si>
  <si>
    <t>High Level Contingency =</t>
  </si>
  <si>
    <t>Available Contingency =</t>
  </si>
  <si>
    <t>ETC=BCWR + Known Risks</t>
  </si>
  <si>
    <t>F/(A+B+C)</t>
  </si>
  <si>
    <t>(F+C) / (A+B)</t>
  </si>
  <si>
    <t>ECP53 Increment</t>
  </si>
  <si>
    <t>Unavoidable Risks</t>
  </si>
  <si>
    <t>Contingency Analysis</t>
  </si>
  <si>
    <t>Budgeted Contingency (known Risks)</t>
  </si>
  <si>
    <t>High Confidence Level Contingency Case (including known risks)</t>
  </si>
  <si>
    <t>Base Cost</t>
  </si>
  <si>
    <t>Unavoidaable Risk</t>
  </si>
  <si>
    <t>Budget (BCWS)</t>
  </si>
  <si>
    <t>$k</t>
  </si>
  <si>
    <t>Directed rebaseline</t>
  </si>
  <si>
    <t>Cont</t>
  </si>
  <si>
    <t>TEC</t>
  </si>
  <si>
    <t>Total potential Risk</t>
  </si>
  <si>
    <t>unavoidable cost risk</t>
  </si>
  <si>
    <t>Growth Risk $</t>
  </si>
  <si>
    <t>Total contingency</t>
  </si>
  <si>
    <t>Contingency %</t>
  </si>
  <si>
    <t>G/(A+B)</t>
  </si>
  <si>
    <t>ECP-53 Baseline</t>
  </si>
  <si>
    <t>Not GPP Cost per Accounting/Winkler. Keep in the MIE project.</t>
  </si>
  <si>
    <t>Documentaion</t>
  </si>
  <si>
    <t>ECP53 database updated.</t>
  </si>
  <si>
    <t>TO BE DOCUMENTED IN A RESOURCE LOADED PLAN BY VIOLA BY 1/24.</t>
  </si>
  <si>
    <t>Mod Coil remaining supplies and procurements.</t>
  </si>
  <si>
    <t>assy dwgs, add'l hardware and misc supplies in support of winding.</t>
  </si>
  <si>
    <t xml:space="preserve"> TO BE DOCUMENTED IN A RESOURCE LOADED PLAN BY WILLIAMSON BY 1/24.</t>
  </si>
  <si>
    <t>preliminary</t>
  </si>
  <si>
    <t>full funding hold back plus cost variance increment plug</t>
  </si>
  <si>
    <t>1451 &amp; 1459</t>
  </si>
  <si>
    <t>Metrology support of field period assy</t>
  </si>
  <si>
    <t>Raftopolous</t>
  </si>
  <si>
    <t>FP Assy fixture</t>
  </si>
  <si>
    <t>Fabrication of stage 2 fixtures not required. Use MTM fixtures.</t>
  </si>
  <si>
    <t>FY07 rebaseling support</t>
  </si>
  <si>
    <t>Blanchard 80, Raki 120 ,Sichta 160 ,Perry 80,Gentile 120</t>
  </si>
  <si>
    <t>others charge their jobs with no budget increment.</t>
  </si>
  <si>
    <t>FY10</t>
  </si>
  <si>
    <t>FY11</t>
  </si>
  <si>
    <t xml:space="preserve">Modular Coil WIndingWind </t>
  </si>
  <si>
    <t>Modular Coil Interface Design and procurement</t>
  </si>
  <si>
    <t>Winding Component Fabrication</t>
  </si>
  <si>
    <t>Current Baseline</t>
  </si>
  <si>
    <t>Title II MC Winding</t>
  </si>
  <si>
    <t>early finish</t>
  </si>
  <si>
    <t>float (milestone date - EF)</t>
  </si>
  <si>
    <t>NCSX MILESTONES</t>
  </si>
  <si>
    <t xml:space="preserve">Begin Field Period Assembly            </t>
  </si>
  <si>
    <t>♦</t>
  </si>
  <si>
    <t>FY12</t>
  </si>
  <si>
    <t>CD-4</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</si>
</sst>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quot;#,##0.0_);[Red]\(&quot;$&quot;#,##0.0\)"/>
    <numFmt numFmtId="168" formatCode="_(* #,##0.0_);_(* \(#,##0.0\);_(* &quot;-&quot;?_);_(@_)"/>
    <numFmt numFmtId="169" formatCode="0.000%"/>
    <numFmt numFmtId="170" formatCode="\+\ 0.00;\-\ 0.00"/>
    <numFmt numFmtId="171" formatCode="[Red]\+\ 0.00;[Blue]\-\ 0.00"/>
    <numFmt numFmtId="172" formatCode="[Red]\+\ 0.0;[Blue]\-\ 0.0"/>
    <numFmt numFmtId="173" formatCode="[Red]\+\ 0;[Blue]\-\ 0"/>
    <numFmt numFmtId="174" formatCode="0.0000"/>
    <numFmt numFmtId="175" formatCode="0.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_(* #,##0.000_);_(* \(#,##0.000\);_(* &quot;-&quot;???_);_(@_)"/>
    <numFmt numFmtId="182" formatCode="_(&quot;$&quot;* #,##0_);_(&quot;$&quot;* \(#,##0\);_(&quot;$&quot;* &quot;-&quot;??_);_(@_)"/>
    <numFmt numFmtId="183" formatCode="_(&quot;$&quot;* #,##0.0_);_(&quot;$&quot;* \(#,##0.0\);_(&quot;$&quot;* &quot;-&quot;??_);_(@_)"/>
    <numFmt numFmtId="184" formatCode="[$-409]mmm\-yy;@"/>
    <numFmt numFmtId="185" formatCode="0.00_)"/>
    <numFmt numFmtId="186" formatCode="0.00000"/>
    <numFmt numFmtId="187" formatCode="_(&quot;$&quot;* #,##0.000_);_(&quot;$&quot;* \(#,##0.000\);_(&quot;$&quot;* &quot;-&quot;??_);_(@_)"/>
    <numFmt numFmtId="188" formatCode="0.0000%"/>
    <numFmt numFmtId="189" formatCode="_(&quot;$&quot;* #,##0.0000_);_(&quot;$&quot;* \(#,##0.0000\);_(&quot;$&quot;* &quot;-&quot;??_);_(@_)"/>
    <numFmt numFmtId="190" formatCode="0.00000000"/>
    <numFmt numFmtId="191" formatCode="0.0000000"/>
    <numFmt numFmtId="192" formatCode="0.000000"/>
    <numFmt numFmtId="193" formatCode="_(* #,##0.000_);_(* \(#,##0.000\);_(* &quot;-&quot;??_);_(@_)"/>
    <numFmt numFmtId="194" formatCode="mmm\-yyyy"/>
    <numFmt numFmtId="195" formatCode="dd\-mmm\-yy_)"/>
    <numFmt numFmtId="196" formatCode="m/d/yy;@"/>
    <numFmt numFmtId="197" formatCode="mmm"/>
    <numFmt numFmtId="198" formatCode="m"/>
    <numFmt numFmtId="199" formatCode="mm"/>
    <numFmt numFmtId="200" formatCode="[$-409]dddd\,\ mmmm\ dd\,\ yyyy"/>
    <numFmt numFmtId="201" formatCode="[$-409]mmmmm;@"/>
    <numFmt numFmtId="202" formatCode="\ "/>
    <numFmt numFmtId="203" formatCode="&quot;$&quot;#,##0"/>
    <numFmt numFmtId="204" formatCode="&quot;$&quot;#,##0.00"/>
    <numFmt numFmtId="205" formatCode="&quot;$&quot;#,##0.0"/>
    <numFmt numFmtId="206" formatCode="\+\ &quot;$&quot;#,##0;\-\ #,##0"/>
    <numFmt numFmtId="207" formatCode="[Red]\+\ &quot;$&quot;#,##0;[Blue]\-\ &quot;$&quot;#,##0"/>
  </numFmts>
  <fonts count="89">
    <font>
      <sz val="10"/>
      <name val="Arial"/>
      <family val="0"/>
    </font>
    <font>
      <u val="singleAccounting"/>
      <sz val="10"/>
      <name val="Arial"/>
      <family val="0"/>
    </font>
    <font>
      <b/>
      <sz val="10"/>
      <name val="Arial"/>
      <family val="2"/>
    </font>
    <font>
      <b/>
      <sz val="12"/>
      <name val="Arial"/>
      <family val="2"/>
    </font>
    <font>
      <sz val="8"/>
      <name val="Arial"/>
      <family val="0"/>
    </font>
    <font>
      <b/>
      <u val="single"/>
      <sz val="10"/>
      <name val="Arial"/>
      <family val="2"/>
    </font>
    <font>
      <u val="single"/>
      <sz val="10"/>
      <name val="Arial"/>
      <family val="0"/>
    </font>
    <font>
      <b/>
      <u val="single"/>
      <sz val="12"/>
      <name val="Arial"/>
      <family val="2"/>
    </font>
    <font>
      <u val="single"/>
      <sz val="10"/>
      <color indexed="12"/>
      <name val="Arial"/>
      <family val="0"/>
    </font>
    <font>
      <u val="single"/>
      <sz val="10"/>
      <color indexed="36"/>
      <name val="Arial"/>
      <family val="0"/>
    </font>
    <font>
      <sz val="11"/>
      <name val="Arial"/>
      <family val="0"/>
    </font>
    <font>
      <b/>
      <sz val="11"/>
      <color indexed="8"/>
      <name val="Arial"/>
      <family val="0"/>
    </font>
    <font>
      <sz val="11"/>
      <color indexed="8"/>
      <name val="Arial"/>
      <family val="0"/>
    </font>
    <font>
      <b/>
      <sz val="10"/>
      <name val="Courier"/>
      <family val="3"/>
    </font>
    <font>
      <i/>
      <sz val="10"/>
      <name val="Arial"/>
      <family val="2"/>
    </font>
    <font>
      <i/>
      <u val="singleAccounting"/>
      <sz val="10"/>
      <name val="Arial"/>
      <family val="2"/>
    </font>
    <font>
      <b/>
      <sz val="20"/>
      <name val="Arial"/>
      <family val="2"/>
    </font>
    <font>
      <b/>
      <sz val="18"/>
      <name val="Arial"/>
      <family val="2"/>
    </font>
    <font>
      <sz val="14"/>
      <name val="Arial"/>
      <family val="2"/>
    </font>
    <font>
      <b/>
      <sz val="14"/>
      <name val="Arial"/>
      <family val="2"/>
    </font>
    <font>
      <b/>
      <sz val="16"/>
      <name val="Arial"/>
      <family val="2"/>
    </font>
    <font>
      <b/>
      <sz val="16"/>
      <color indexed="10"/>
      <name val="Arial"/>
      <family val="2"/>
    </font>
    <font>
      <b/>
      <i/>
      <sz val="16"/>
      <name val="Arial"/>
      <family val="2"/>
    </font>
    <font>
      <b/>
      <sz val="16"/>
      <color indexed="12"/>
      <name val="Arial"/>
      <family val="2"/>
    </font>
    <font>
      <i/>
      <sz val="14"/>
      <name val="Arial"/>
      <family val="2"/>
    </font>
    <font>
      <sz val="48"/>
      <name val="Arial"/>
      <family val="2"/>
    </font>
    <font>
      <sz val="9"/>
      <name val="Arial Narrow"/>
      <family val="2"/>
    </font>
    <font>
      <sz val="16"/>
      <name val="Arial"/>
      <family val="2"/>
    </font>
    <font>
      <u val="single"/>
      <sz val="16"/>
      <name val="Arial"/>
      <family val="2"/>
    </font>
    <font>
      <b/>
      <sz val="8"/>
      <name val="Arial"/>
      <family val="2"/>
    </font>
    <font>
      <b/>
      <sz val="11"/>
      <name val="Arial"/>
      <family val="2"/>
    </font>
    <font>
      <u val="single"/>
      <sz val="14"/>
      <name val="Arial"/>
      <family val="2"/>
    </font>
    <font>
      <sz val="10"/>
      <color indexed="8"/>
      <name val="Arial"/>
      <family val="2"/>
    </font>
    <font>
      <sz val="11"/>
      <color indexed="9"/>
      <name val="Arial"/>
      <family val="2"/>
    </font>
    <font>
      <sz val="8"/>
      <name val="Arial Narrow"/>
      <family val="2"/>
    </font>
    <font>
      <b/>
      <u val="single"/>
      <sz val="16"/>
      <name val="Arial"/>
      <family val="2"/>
    </font>
    <font>
      <sz val="12"/>
      <name val="Arial"/>
      <family val="2"/>
    </font>
    <font>
      <i/>
      <sz val="12"/>
      <name val="Arial"/>
      <family val="2"/>
    </font>
    <font>
      <b/>
      <u val="single"/>
      <sz val="22"/>
      <name val="Arial"/>
      <family val="2"/>
    </font>
    <font>
      <b/>
      <i/>
      <sz val="14"/>
      <name val="Arial"/>
      <family val="2"/>
    </font>
    <font>
      <b/>
      <u val="single"/>
      <sz val="14"/>
      <name val="Arial"/>
      <family val="2"/>
    </font>
    <font>
      <b/>
      <i/>
      <u val="single"/>
      <sz val="14"/>
      <name val="Arial"/>
      <family val="2"/>
    </font>
    <font>
      <b/>
      <i/>
      <sz val="10"/>
      <name val="Arial"/>
      <family val="2"/>
    </font>
    <font>
      <sz val="9"/>
      <name val="Arial"/>
      <family val="0"/>
    </font>
    <font>
      <b/>
      <sz val="9"/>
      <name val="Arial Narrow"/>
      <family val="2"/>
    </font>
    <font>
      <u val="single"/>
      <sz val="11"/>
      <name val="Arial"/>
      <family val="2"/>
    </font>
    <font>
      <sz val="10"/>
      <color indexed="10"/>
      <name val="Arial"/>
      <family val="2"/>
    </font>
    <font>
      <sz val="14"/>
      <color indexed="8"/>
      <name val="Arial"/>
      <family val="2"/>
    </font>
    <font>
      <sz val="14"/>
      <color indexed="12"/>
      <name val="Arial"/>
      <family val="2"/>
    </font>
    <font>
      <b/>
      <sz val="11"/>
      <color indexed="12"/>
      <name val="Arial"/>
      <family val="2"/>
    </font>
    <font>
      <b/>
      <u val="single"/>
      <sz val="14"/>
      <color indexed="8"/>
      <name val="Arial"/>
      <family val="2"/>
    </font>
    <font>
      <b/>
      <u val="single"/>
      <sz val="16"/>
      <color indexed="8"/>
      <name val="Arial"/>
      <family val="2"/>
    </font>
    <font>
      <b/>
      <sz val="14"/>
      <color indexed="8"/>
      <name val="Arial"/>
      <family val="2"/>
    </font>
    <font>
      <b/>
      <sz val="14"/>
      <color indexed="12"/>
      <name val="Arial"/>
      <family val="2"/>
    </font>
    <font>
      <b/>
      <sz val="14"/>
      <color indexed="10"/>
      <name val="Arial"/>
      <family val="2"/>
    </font>
    <font>
      <b/>
      <sz val="10"/>
      <color indexed="10"/>
      <name val="Arial"/>
      <family val="2"/>
    </font>
    <font>
      <b/>
      <sz val="1"/>
      <name val="Arial"/>
      <family val="2"/>
    </font>
    <font>
      <b/>
      <u val="single"/>
      <sz val="11"/>
      <name val="Arial"/>
      <family val="2"/>
    </font>
    <font>
      <b/>
      <sz val="9"/>
      <name val="Arial"/>
      <family val="2"/>
    </font>
    <font>
      <u val="single"/>
      <sz val="8"/>
      <name val="Arial"/>
      <family val="2"/>
    </font>
    <font>
      <i/>
      <sz val="8"/>
      <name val="Arial"/>
      <family val="2"/>
    </font>
    <font>
      <b/>
      <sz val="8"/>
      <name val="Arial Narrow"/>
      <family val="2"/>
    </font>
    <font>
      <i/>
      <sz val="11"/>
      <color indexed="23"/>
      <name val="Arial"/>
      <family val="2"/>
    </font>
    <font>
      <i/>
      <sz val="11"/>
      <color indexed="8"/>
      <name val="Arial"/>
      <family val="2"/>
    </font>
    <font>
      <sz val="11"/>
      <name val="Arial Narrow"/>
      <family val="2"/>
    </font>
    <font>
      <b/>
      <u val="single"/>
      <sz val="18"/>
      <name val="Arial"/>
      <family val="0"/>
    </font>
    <font>
      <u val="singleAccounting"/>
      <sz val="9"/>
      <name val="Arial"/>
      <family val="0"/>
    </font>
    <font>
      <i/>
      <sz val="9"/>
      <name val="Arial"/>
      <family val="0"/>
    </font>
    <font>
      <b/>
      <i/>
      <sz val="18"/>
      <color indexed="12"/>
      <name val="Arial"/>
      <family val="2"/>
    </font>
    <font>
      <b/>
      <i/>
      <sz val="16"/>
      <color indexed="12"/>
      <name val="Arial"/>
      <family val="2"/>
    </font>
    <font>
      <sz val="19.5"/>
      <name val="Arial"/>
      <family val="2"/>
    </font>
    <font>
      <b/>
      <sz val="10"/>
      <color indexed="8"/>
      <name val="Arial"/>
      <family val="2"/>
    </font>
    <font>
      <sz val="16"/>
      <color indexed="12"/>
      <name val="Arial"/>
      <family val="2"/>
    </font>
    <font>
      <u val="single"/>
      <sz val="16"/>
      <color indexed="12"/>
      <name val="Arial"/>
      <family val="2"/>
    </font>
    <font>
      <b/>
      <u val="single"/>
      <sz val="16"/>
      <color indexed="12"/>
      <name val="Arial"/>
      <family val="2"/>
    </font>
    <font>
      <i/>
      <sz val="16"/>
      <name val="Arial"/>
      <family val="2"/>
    </font>
    <font>
      <b/>
      <i/>
      <u val="single"/>
      <sz val="16"/>
      <color indexed="16"/>
      <name val="Arial"/>
      <family val="2"/>
    </font>
    <font>
      <b/>
      <i/>
      <sz val="16"/>
      <color indexed="16"/>
      <name val="Arial"/>
      <family val="2"/>
    </font>
    <font>
      <u val="single"/>
      <sz val="12"/>
      <name val="Arial"/>
      <family val="2"/>
    </font>
    <font>
      <sz val="12"/>
      <color indexed="10"/>
      <name val="Arial"/>
      <family val="2"/>
    </font>
    <font>
      <sz val="12"/>
      <color indexed="16"/>
      <name val="Arial"/>
      <family val="2"/>
    </font>
    <font>
      <b/>
      <u val="single"/>
      <sz val="24"/>
      <name val="Arial"/>
      <family val="2"/>
    </font>
    <font>
      <sz val="24"/>
      <name val="Arial"/>
      <family val="2"/>
    </font>
    <font>
      <b/>
      <u val="single"/>
      <sz val="8"/>
      <name val="Arial"/>
      <family val="2"/>
    </font>
    <font>
      <sz val="19"/>
      <name val="Arial"/>
      <family val="2"/>
    </font>
    <font>
      <b/>
      <i/>
      <sz val="14"/>
      <color indexed="10"/>
      <name val="Arial"/>
      <family val="2"/>
    </font>
    <font>
      <b/>
      <i/>
      <u val="single"/>
      <sz val="10"/>
      <name val="Arial"/>
      <family val="2"/>
    </font>
    <font>
      <b/>
      <i/>
      <u val="single"/>
      <sz val="14"/>
      <color indexed="10"/>
      <name val="Arial"/>
      <family val="2"/>
    </font>
    <font>
      <b/>
      <u val="single"/>
      <sz val="20"/>
      <name val="Arial"/>
      <family val="2"/>
    </font>
  </fonts>
  <fills count="13">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15"/>
        <bgColor indexed="64"/>
      </patternFill>
    </fill>
    <fill>
      <patternFill patternType="solid">
        <fgColor indexed="14"/>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1"/>
        <bgColor indexed="64"/>
      </patternFill>
    </fill>
    <fill>
      <patternFill patternType="solid">
        <fgColor indexed="47"/>
        <bgColor indexed="64"/>
      </patternFill>
    </fill>
  </fills>
  <borders count="7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medium"/>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thin"/>
      <top style="thin"/>
      <bottom>
        <color indexed="63"/>
      </bottom>
    </border>
    <border>
      <left style="medium"/>
      <right style="medium"/>
      <top style="medium"/>
      <bottom>
        <color indexed="63"/>
      </bottom>
    </border>
    <border>
      <left style="double"/>
      <right style="double"/>
      <top style="double"/>
      <bottom>
        <color indexed="63"/>
      </bottom>
    </border>
    <border>
      <left style="medium"/>
      <right style="medium"/>
      <top>
        <color indexed="63"/>
      </top>
      <bottom style="medium"/>
    </border>
    <border>
      <left style="double"/>
      <right style="double"/>
      <top>
        <color indexed="63"/>
      </top>
      <bottom>
        <color indexed="63"/>
      </bottom>
    </border>
    <border>
      <left style="medium"/>
      <right style="medium"/>
      <top>
        <color indexed="63"/>
      </top>
      <bottom>
        <color indexed="63"/>
      </bottom>
    </border>
    <border>
      <left>
        <color indexed="63"/>
      </left>
      <right>
        <color indexed="63"/>
      </right>
      <top>
        <color indexed="63"/>
      </top>
      <bottom style="double"/>
    </border>
    <border>
      <left style="double"/>
      <right style="double"/>
      <top>
        <color indexed="63"/>
      </top>
      <bottom style="thin"/>
    </border>
    <border>
      <left style="medium"/>
      <right style="medium"/>
      <top>
        <color indexed="63"/>
      </top>
      <bottom style="thin"/>
    </border>
    <border>
      <left style="double"/>
      <right style="double"/>
      <top>
        <color indexed="63"/>
      </top>
      <bottom style="double"/>
    </border>
    <border>
      <left style="medium"/>
      <right style="medium"/>
      <top style="medium"/>
      <bottom style="medium"/>
    </border>
    <border>
      <left style="medium"/>
      <right>
        <color indexed="63"/>
      </right>
      <top style="medium"/>
      <bottom style="medium"/>
    </border>
    <border>
      <left style="medium"/>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style="medium"/>
      <top style="medium"/>
      <bottom style="thin"/>
    </border>
    <border>
      <left>
        <color indexed="63"/>
      </left>
      <right style="medium"/>
      <top style="medium"/>
      <bottom style="medium"/>
    </border>
    <border>
      <left>
        <color indexed="63"/>
      </left>
      <right>
        <color indexed="63"/>
      </right>
      <top style="medium"/>
      <bottom style="medium"/>
    </border>
    <border>
      <left style="medium"/>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thin">
        <color indexed="8"/>
      </left>
      <right>
        <color indexed="63"/>
      </right>
      <top>
        <color indexed="63"/>
      </top>
      <bottom>
        <color indexed="63"/>
      </bottom>
    </border>
    <border>
      <left style="double"/>
      <right>
        <color indexed="63"/>
      </right>
      <top style="thin"/>
      <bottom>
        <color indexed="63"/>
      </bottom>
    </border>
    <border>
      <left>
        <color indexed="63"/>
      </left>
      <right style="double"/>
      <top style="thin"/>
      <bottom>
        <color indexed="63"/>
      </bottom>
    </border>
    <border>
      <left style="mediumDashed">
        <color indexed="23"/>
      </left>
      <right style="mediumDashed">
        <color indexed="23"/>
      </right>
      <top style="mediumDashed">
        <color indexed="23"/>
      </top>
      <bottom>
        <color indexed="63"/>
      </bottom>
    </border>
    <border>
      <left style="mediumDashed">
        <color indexed="23"/>
      </left>
      <right>
        <color indexed="63"/>
      </right>
      <top style="mediumDashed">
        <color indexed="23"/>
      </top>
      <bottom>
        <color indexed="63"/>
      </bottom>
    </border>
    <border>
      <left style="mediumDashed">
        <color indexed="23"/>
      </left>
      <right style="mediumDashed">
        <color indexed="23"/>
      </right>
      <top>
        <color indexed="63"/>
      </top>
      <bottom>
        <color indexed="63"/>
      </bottom>
    </border>
    <border>
      <left>
        <color indexed="63"/>
      </left>
      <right style="mediumDashed">
        <color indexed="23"/>
      </right>
      <top style="mediumDashed">
        <color indexed="23"/>
      </top>
      <bottom>
        <color indexed="63"/>
      </bottom>
    </border>
    <border>
      <left style="mediumDashed">
        <color indexed="23"/>
      </left>
      <right style="mediumDashed">
        <color indexed="55"/>
      </right>
      <top style="medium"/>
      <bottom>
        <color indexed="63"/>
      </bottom>
    </border>
    <border>
      <left>
        <color indexed="63"/>
      </left>
      <right style="mediumDashed">
        <color indexed="55"/>
      </right>
      <top style="medium"/>
      <bottom>
        <color indexed="63"/>
      </bottom>
    </border>
    <border>
      <left style="mediumDashed">
        <color indexed="23"/>
      </left>
      <right>
        <color indexed="63"/>
      </right>
      <top>
        <color indexed="63"/>
      </top>
      <bottom>
        <color indexed="63"/>
      </bottom>
    </border>
    <border>
      <left>
        <color indexed="63"/>
      </left>
      <right style="mediumDashed">
        <color indexed="23"/>
      </right>
      <top>
        <color indexed="63"/>
      </top>
      <bottom>
        <color indexed="63"/>
      </bottom>
    </border>
    <border>
      <left style="mediumDashed">
        <color indexed="23"/>
      </left>
      <right style="mediumDashed">
        <color indexed="55"/>
      </right>
      <top>
        <color indexed="63"/>
      </top>
      <bottom>
        <color indexed="63"/>
      </bottom>
    </border>
    <border>
      <left>
        <color indexed="63"/>
      </left>
      <right style="mediumDashed">
        <color indexed="55"/>
      </right>
      <top>
        <color indexed="63"/>
      </top>
      <bottom>
        <color indexed="63"/>
      </bottom>
    </border>
    <border>
      <left style="mediumDashed">
        <color indexed="23"/>
      </left>
      <right style="mediumDashed">
        <color indexed="23"/>
      </right>
      <top>
        <color indexed="63"/>
      </top>
      <bottom style="medium"/>
    </border>
    <border>
      <left style="mediumDashed">
        <color indexed="23"/>
      </left>
      <right style="mediumDashed">
        <color indexed="55"/>
      </right>
      <top>
        <color indexed="63"/>
      </top>
      <bottom style="medium"/>
    </border>
    <border>
      <left>
        <color indexed="63"/>
      </left>
      <right style="mediumDashed">
        <color indexed="55"/>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style="thin"/>
      <right>
        <color indexed="63"/>
      </right>
      <top style="medium"/>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thin"/>
      <top style="medium"/>
      <bottom style="medium"/>
    </border>
    <border>
      <left style="thin"/>
      <right>
        <color indexed="63"/>
      </right>
      <top style="medium"/>
      <bottom style="medium"/>
    </border>
    <border>
      <left style="thin"/>
      <right style="medium"/>
      <top>
        <color indexed="63"/>
      </top>
      <bottom style="thin"/>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186">
    <xf numFmtId="0" fontId="0" fillId="0" borderId="0" xfId="0" applyAlignment="1">
      <alignment/>
    </xf>
    <xf numFmtId="165" fontId="0" fillId="0" borderId="0" xfId="15" applyNumberFormat="1"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Border="1" applyAlignment="1">
      <alignment/>
    </xf>
    <xf numFmtId="165" fontId="0" fillId="0" borderId="0" xfId="15" applyNumberFormat="1" applyFill="1" applyBorder="1" applyAlignment="1">
      <alignment/>
    </xf>
    <xf numFmtId="0" fontId="0" fillId="0" borderId="0" xfId="0" applyBorder="1" applyAlignment="1">
      <alignment/>
    </xf>
    <xf numFmtId="0" fontId="0" fillId="0" borderId="0" xfId="0" applyAlignment="1">
      <alignment horizontal="center"/>
    </xf>
    <xf numFmtId="183" fontId="0" fillId="0" borderId="0" xfId="17" applyNumberFormat="1" applyFill="1" applyAlignment="1">
      <alignment/>
    </xf>
    <xf numFmtId="183" fontId="0" fillId="0" borderId="0" xfId="17" applyNumberFormat="1" applyFont="1" applyFill="1" applyAlignment="1">
      <alignment/>
    </xf>
    <xf numFmtId="183" fontId="2" fillId="0" borderId="0" xfId="17" applyNumberFormat="1" applyFont="1" applyFill="1" applyAlignment="1">
      <alignment/>
    </xf>
    <xf numFmtId="9" fontId="0" fillId="0" borderId="0" xfId="21" applyFill="1" applyAlignment="1">
      <alignment/>
    </xf>
    <xf numFmtId="165" fontId="0" fillId="0" borderId="0" xfId="15" applyNumberFormat="1" applyFill="1" applyAlignment="1">
      <alignment/>
    </xf>
    <xf numFmtId="0" fontId="14" fillId="0" borderId="0" xfId="0" applyFont="1" applyFill="1" applyAlignment="1">
      <alignment/>
    </xf>
    <xf numFmtId="44" fontId="22" fillId="0" borderId="0" xfId="17" applyNumberFormat="1" applyFont="1" applyFill="1" applyAlignment="1">
      <alignment/>
    </xf>
    <xf numFmtId="44" fontId="22" fillId="0" borderId="0" xfId="0" applyNumberFormat="1" applyFont="1" applyFill="1" applyAlignment="1">
      <alignment/>
    </xf>
    <xf numFmtId="183" fontId="24" fillId="0" borderId="0" xfId="0" applyNumberFormat="1" applyFont="1" applyFill="1" applyAlignment="1">
      <alignment/>
    </xf>
    <xf numFmtId="0" fontId="20" fillId="0" borderId="0" xfId="0" applyFont="1" applyFill="1" applyAlignment="1">
      <alignment/>
    </xf>
    <xf numFmtId="0" fontId="21" fillId="0" borderId="0" xfId="0" applyFont="1" applyFill="1" applyAlignment="1">
      <alignment/>
    </xf>
    <xf numFmtId="183" fontId="21" fillId="0" borderId="0" xfId="0" applyNumberFormat="1" applyFont="1" applyFill="1" applyAlignment="1">
      <alignment/>
    </xf>
    <xf numFmtId="183" fontId="21" fillId="0" borderId="0" xfId="17" applyNumberFormat="1" applyFont="1" applyFill="1" applyAlignment="1">
      <alignment/>
    </xf>
    <xf numFmtId="0" fontId="20" fillId="2" borderId="0" xfId="0" applyFont="1" applyFill="1" applyAlignment="1">
      <alignment/>
    </xf>
    <xf numFmtId="183" fontId="20" fillId="2" borderId="0" xfId="0" applyNumberFormat="1" applyFont="1" applyFill="1" applyAlignment="1">
      <alignment/>
    </xf>
    <xf numFmtId="187" fontId="0" fillId="0" borderId="0" xfId="0" applyNumberFormat="1" applyFill="1" applyAlignment="1">
      <alignment/>
    </xf>
    <xf numFmtId="0" fontId="10" fillId="0" borderId="0" xfId="0" applyFont="1" applyAlignment="1">
      <alignment/>
    </xf>
    <xf numFmtId="0" fontId="10" fillId="0" borderId="0" xfId="0" applyFont="1" applyBorder="1" applyAlignment="1">
      <alignment/>
    </xf>
    <xf numFmtId="0" fontId="10" fillId="0" borderId="1" xfId="0" applyFont="1" applyBorder="1" applyAlignment="1">
      <alignment/>
    </xf>
    <xf numFmtId="0" fontId="10" fillId="0" borderId="2" xfId="0" applyFont="1" applyBorder="1" applyAlignment="1">
      <alignment/>
    </xf>
    <xf numFmtId="0" fontId="10" fillId="0" borderId="3" xfId="0" applyFont="1" applyBorder="1" applyAlignment="1">
      <alignment/>
    </xf>
    <xf numFmtId="0" fontId="27" fillId="0" borderId="0" xfId="0" applyFont="1" applyBorder="1" applyAlignment="1">
      <alignment/>
    </xf>
    <xf numFmtId="0" fontId="27" fillId="0" borderId="0" xfId="0" applyFont="1" applyAlignment="1">
      <alignment/>
    </xf>
    <xf numFmtId="0" fontId="10" fillId="0" borderId="4" xfId="0" applyFont="1" applyBorder="1" applyAlignment="1">
      <alignment/>
    </xf>
    <xf numFmtId="0" fontId="10" fillId="0" borderId="5" xfId="0" applyFont="1" applyBorder="1" applyAlignment="1">
      <alignment/>
    </xf>
    <xf numFmtId="0" fontId="10" fillId="0" borderId="6" xfId="0" applyFont="1" applyFill="1" applyBorder="1" applyAlignment="1">
      <alignment horizontal="centerContinuous"/>
    </xf>
    <xf numFmtId="0" fontId="10" fillId="0" borderId="7" xfId="0" applyFont="1" applyFill="1" applyBorder="1" applyAlignment="1">
      <alignment horizontal="centerContinuous"/>
    </xf>
    <xf numFmtId="0" fontId="4" fillId="0" borderId="0" xfId="0" applyFont="1" applyAlignment="1">
      <alignment/>
    </xf>
    <xf numFmtId="0" fontId="4" fillId="0" borderId="0" xfId="0" applyFont="1" applyBorder="1" applyAlignment="1">
      <alignment/>
    </xf>
    <xf numFmtId="0" fontId="4" fillId="0" borderId="8" xfId="0" applyFont="1" applyFill="1" applyBorder="1" applyAlignment="1">
      <alignment/>
    </xf>
    <xf numFmtId="0" fontId="4" fillId="0" borderId="6" xfId="0" applyFont="1" applyFill="1" applyBorder="1" applyAlignment="1">
      <alignment/>
    </xf>
    <xf numFmtId="0" fontId="4" fillId="0" borderId="9" xfId="0" applyFont="1" applyFill="1" applyBorder="1" applyAlignment="1">
      <alignment/>
    </xf>
    <xf numFmtId="0" fontId="4" fillId="0" borderId="8" xfId="0" applyFont="1" applyFill="1" applyBorder="1" applyAlignment="1">
      <alignment horizontal="right"/>
    </xf>
    <xf numFmtId="0" fontId="4" fillId="0" borderId="10" xfId="0" applyFont="1" applyBorder="1" applyAlignment="1">
      <alignment/>
    </xf>
    <xf numFmtId="0" fontId="4" fillId="0" borderId="8" xfId="0" applyFont="1" applyBorder="1" applyAlignment="1">
      <alignment/>
    </xf>
    <xf numFmtId="0" fontId="4" fillId="0" borderId="6" xfId="0" applyFont="1" applyBorder="1" applyAlignment="1">
      <alignment/>
    </xf>
    <xf numFmtId="0" fontId="4" fillId="0" borderId="6" xfId="0" applyFont="1" applyBorder="1" applyAlignment="1">
      <alignment horizontal="centerContinuous"/>
    </xf>
    <xf numFmtId="0" fontId="4" fillId="0" borderId="10" xfId="0" applyFont="1" applyBorder="1" applyAlignment="1">
      <alignment horizontal="centerContinuous"/>
    </xf>
    <xf numFmtId="0" fontId="4" fillId="0" borderId="8" xfId="0" applyFont="1" applyBorder="1" applyAlignment="1">
      <alignment horizontal="centerContinuous"/>
    </xf>
    <xf numFmtId="0" fontId="4" fillId="0" borderId="11" xfId="0" applyFont="1" applyFill="1" applyBorder="1" applyAlignment="1">
      <alignment/>
    </xf>
    <xf numFmtId="0" fontId="4" fillId="0" borderId="0" xfId="0" applyFont="1" applyFill="1" applyBorder="1" applyAlignment="1">
      <alignment/>
    </xf>
    <xf numFmtId="0" fontId="4" fillId="0" borderId="4" xfId="0" applyFont="1" applyFill="1" applyBorder="1" applyAlignment="1">
      <alignment/>
    </xf>
    <xf numFmtId="0" fontId="4" fillId="0" borderId="12" xfId="0" applyFont="1" applyFill="1" applyBorder="1" applyAlignment="1">
      <alignment/>
    </xf>
    <xf numFmtId="0" fontId="4" fillId="0" borderId="0" xfId="0" applyFont="1" applyFill="1" applyBorder="1" applyAlignment="1">
      <alignment horizontal="right"/>
    </xf>
    <xf numFmtId="0" fontId="4" fillId="0" borderId="12" xfId="0" applyFont="1" applyBorder="1" applyAlignment="1">
      <alignment/>
    </xf>
    <xf numFmtId="0" fontId="4" fillId="0" borderId="5" xfId="0" applyFont="1" applyBorder="1" applyAlignment="1">
      <alignment/>
    </xf>
    <xf numFmtId="0" fontId="4" fillId="0" borderId="4" xfId="0" applyFont="1" applyBorder="1" applyAlignment="1">
      <alignment/>
    </xf>
    <xf numFmtId="0" fontId="4" fillId="0" borderId="0" xfId="0" applyFont="1" applyFill="1" applyBorder="1" applyAlignment="1">
      <alignment horizontal="left"/>
    </xf>
    <xf numFmtId="0" fontId="0" fillId="0" borderId="12" xfId="0" applyFont="1" applyFill="1" applyBorder="1" applyAlignment="1">
      <alignment/>
    </xf>
    <xf numFmtId="0" fontId="0" fillId="0" borderId="0" xfId="0" applyFont="1" applyBorder="1" applyAlignment="1">
      <alignment/>
    </xf>
    <xf numFmtId="0" fontId="0" fillId="0" borderId="0" xfId="0" applyFont="1" applyBorder="1" applyAlignment="1">
      <alignment horizontal="right"/>
    </xf>
    <xf numFmtId="0" fontId="4" fillId="0" borderId="0" xfId="0" applyFont="1" applyBorder="1" applyAlignment="1">
      <alignment horizontal="right"/>
    </xf>
    <xf numFmtId="0" fontId="10" fillId="0" borderId="0" xfId="0" applyFont="1" applyFill="1" applyBorder="1" applyAlignment="1">
      <alignment horizontal="center" vertical="center"/>
    </xf>
    <xf numFmtId="0" fontId="29" fillId="0" borderId="11" xfId="0" applyFont="1" applyFill="1" applyBorder="1" applyAlignment="1">
      <alignment/>
    </xf>
    <xf numFmtId="0" fontId="29" fillId="0" borderId="0" xfId="0" applyFont="1" applyFill="1" applyBorder="1" applyAlignment="1">
      <alignment/>
    </xf>
    <xf numFmtId="0" fontId="4" fillId="0" borderId="0" xfId="0" applyFont="1" applyFill="1" applyBorder="1" applyAlignment="1">
      <alignment vertical="center"/>
    </xf>
    <xf numFmtId="0" fontId="0"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29" fillId="0" borderId="0" xfId="0" applyFont="1" applyFill="1" applyBorder="1" applyAlignment="1">
      <alignment vertical="center"/>
    </xf>
    <xf numFmtId="0" fontId="4" fillId="0" borderId="12" xfId="0" applyFont="1" applyFill="1" applyBorder="1" applyAlignment="1">
      <alignment vertical="center"/>
    </xf>
    <xf numFmtId="0" fontId="4" fillId="0" borderId="12" xfId="0" applyFont="1" applyBorder="1" applyAlignment="1">
      <alignment vertical="center"/>
    </xf>
    <xf numFmtId="0" fontId="10" fillId="0" borderId="0" xfId="0" applyFont="1" applyFill="1" applyBorder="1" applyAlignment="1">
      <alignment vertical="center"/>
    </xf>
    <xf numFmtId="0" fontId="10" fillId="0" borderId="0" xfId="0" applyFont="1" applyAlignment="1">
      <alignment vertical="center"/>
    </xf>
    <xf numFmtId="0" fontId="10" fillId="0" borderId="0" xfId="0" applyFont="1" applyBorder="1" applyAlignment="1">
      <alignment horizontal="right" vertical="center"/>
    </xf>
    <xf numFmtId="0" fontId="30" fillId="0" borderId="11" xfId="0" applyFont="1" applyFill="1" applyBorder="1" applyAlignment="1">
      <alignment horizontal="right" vertical="center"/>
    </xf>
    <xf numFmtId="0" fontId="30" fillId="0" borderId="0" xfId="0" applyFont="1" applyFill="1" applyBorder="1" applyAlignment="1">
      <alignment horizontal="right" vertical="center"/>
    </xf>
    <xf numFmtId="0" fontId="10" fillId="0" borderId="0" xfId="0" applyFont="1" applyFill="1" applyBorder="1" applyAlignment="1">
      <alignment horizontal="right" vertical="center"/>
    </xf>
    <xf numFmtId="0" fontId="31" fillId="0" borderId="4" xfId="0" applyFont="1" applyFill="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0" fillId="0" borderId="5" xfId="0" applyFont="1" applyFill="1" applyBorder="1" applyAlignment="1">
      <alignment vertical="center"/>
    </xf>
    <xf numFmtId="0" fontId="10" fillId="0" borderId="12" xfId="0" applyFont="1" applyFill="1" applyBorder="1" applyAlignment="1">
      <alignment vertical="center"/>
    </xf>
    <xf numFmtId="0" fontId="10" fillId="0" borderId="0" xfId="0" applyFont="1" applyFill="1" applyAlignment="1">
      <alignment vertical="center"/>
    </xf>
    <xf numFmtId="0" fontId="10" fillId="0" borderId="0" xfId="0" applyFont="1" applyAlignment="1">
      <alignment horizontal="center" vertical="center"/>
    </xf>
    <xf numFmtId="0" fontId="0" fillId="0" borderId="0" xfId="0" applyFont="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10" fillId="3" borderId="10" xfId="0" applyFont="1" applyFill="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12" xfId="0" applyFont="1" applyFill="1" applyBorder="1" applyAlignment="1">
      <alignment horizontal="center"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6" fillId="0" borderId="4" xfId="0" applyFont="1" applyFill="1" applyBorder="1" applyAlignment="1">
      <alignment vertical="center"/>
    </xf>
    <xf numFmtId="0" fontId="0" fillId="0" borderId="12" xfId="0" applyFont="1" applyFill="1" applyBorder="1" applyAlignment="1">
      <alignment vertical="center"/>
    </xf>
    <xf numFmtId="0" fontId="0" fillId="0" borderId="0" xfId="0" applyFont="1" applyBorder="1" applyAlignment="1">
      <alignment vertical="center"/>
    </xf>
    <xf numFmtId="0" fontId="0" fillId="3" borderId="6" xfId="0" applyFont="1" applyFill="1" applyBorder="1" applyAlignment="1">
      <alignment vertical="center"/>
    </xf>
    <xf numFmtId="0" fontId="0" fillId="3" borderId="7" xfId="0" applyFont="1" applyFill="1" applyBorder="1" applyAlignment="1">
      <alignment vertical="center"/>
    </xf>
    <xf numFmtId="0" fontId="10" fillId="3" borderId="7" xfId="0" applyFont="1" applyFill="1" applyBorder="1" applyAlignment="1">
      <alignment vertical="center"/>
    </xf>
    <xf numFmtId="0" fontId="10" fillId="3" borderId="10" xfId="0" applyFont="1" applyFill="1" applyBorder="1" applyAlignment="1">
      <alignment vertical="center"/>
    </xf>
    <xf numFmtId="0" fontId="0" fillId="0" borderId="12" xfId="0" applyFont="1" applyBorder="1" applyAlignment="1">
      <alignment vertical="center"/>
    </xf>
    <xf numFmtId="0" fontId="0" fillId="0" borderId="11" xfId="0" applyFont="1" applyFill="1" applyBorder="1" applyAlignment="1">
      <alignment vertical="center"/>
    </xf>
    <xf numFmtId="0" fontId="0" fillId="0" borderId="0" xfId="0" applyFont="1" applyBorder="1" applyAlignment="1">
      <alignment horizontal="right" vertical="center"/>
    </xf>
    <xf numFmtId="0" fontId="0" fillId="4" borderId="7" xfId="0" applyFont="1" applyFill="1" applyBorder="1" applyAlignment="1">
      <alignment vertical="center"/>
    </xf>
    <xf numFmtId="0" fontId="0" fillId="4" borderId="6" xfId="0" applyFont="1" applyFill="1" applyBorder="1" applyAlignment="1">
      <alignment vertical="center"/>
    </xf>
    <xf numFmtId="0" fontId="0" fillId="4" borderId="10" xfId="0" applyFont="1" applyFill="1" applyBorder="1" applyAlignment="1">
      <alignment vertical="center"/>
    </xf>
    <xf numFmtId="0" fontId="10" fillId="0" borderId="11" xfId="0" applyFont="1" applyFill="1" applyBorder="1" applyAlignment="1">
      <alignment vertical="center"/>
    </xf>
    <xf numFmtId="0" fontId="10" fillId="0" borderId="11" xfId="0" applyFont="1" applyBorder="1" applyAlignment="1">
      <alignment vertical="center"/>
    </xf>
    <xf numFmtId="0" fontId="10" fillId="0" borderId="4" xfId="0" applyFont="1" applyFill="1" applyBorder="1" applyAlignment="1">
      <alignment vertical="center"/>
    </xf>
    <xf numFmtId="0" fontId="2" fillId="0" borderId="11" xfId="0" applyFont="1" applyFill="1" applyBorder="1" applyAlignment="1">
      <alignment horizontal="right" vertical="center"/>
    </xf>
    <xf numFmtId="0" fontId="2" fillId="0" borderId="0" xfId="0" applyFont="1" applyFill="1" applyBorder="1" applyAlignment="1">
      <alignment horizontal="right" vertical="center"/>
    </xf>
    <xf numFmtId="0" fontId="10" fillId="3" borderId="13" xfId="0" applyFont="1" applyFill="1" applyBorder="1" applyAlignment="1">
      <alignment vertical="center"/>
    </xf>
    <xf numFmtId="0" fontId="12" fillId="3" borderId="7" xfId="0" applyFont="1" applyFill="1" applyBorder="1" applyAlignment="1">
      <alignment vertical="center"/>
    </xf>
    <xf numFmtId="0" fontId="12" fillId="5" borderId="7" xfId="0" applyFont="1" applyFill="1" applyBorder="1" applyAlignment="1">
      <alignment vertical="center"/>
    </xf>
    <xf numFmtId="0" fontId="5" fillId="0" borderId="11"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10" fillId="3" borderId="0" xfId="0" applyFont="1" applyFill="1" applyBorder="1" applyAlignment="1">
      <alignment vertical="center"/>
    </xf>
    <xf numFmtId="0" fontId="10" fillId="5" borderId="7" xfId="0" applyFont="1" applyFill="1" applyBorder="1" applyAlignment="1">
      <alignment vertical="center"/>
    </xf>
    <xf numFmtId="0" fontId="12" fillId="0" borderId="0" xfId="0" applyFont="1" applyFill="1" applyBorder="1" applyAlignment="1">
      <alignment vertical="center"/>
    </xf>
    <xf numFmtId="0" fontId="0" fillId="5" borderId="7" xfId="0" applyFont="1" applyFill="1" applyBorder="1" applyAlignment="1">
      <alignment vertical="center"/>
    </xf>
    <xf numFmtId="0" fontId="10" fillId="5" borderId="6" xfId="0" applyFont="1" applyFill="1" applyBorder="1" applyAlignment="1">
      <alignment vertical="center"/>
    </xf>
    <xf numFmtId="0" fontId="7" fillId="0" borderId="11" xfId="0" applyFont="1" applyFill="1" applyBorder="1" applyAlignment="1">
      <alignment vertical="center"/>
    </xf>
    <xf numFmtId="0" fontId="0" fillId="0" borderId="4" xfId="0" applyFont="1" applyFill="1" applyBorder="1" applyAlignment="1">
      <alignment vertical="center"/>
    </xf>
    <xf numFmtId="0" fontId="10" fillId="4" borderId="7" xfId="0" applyFont="1" applyFill="1" applyBorder="1" applyAlignment="1">
      <alignment vertical="center"/>
    </xf>
    <xf numFmtId="0" fontId="0" fillId="5" borderId="10" xfId="0" applyFont="1" applyFill="1" applyBorder="1" applyAlignment="1">
      <alignment vertical="center"/>
    </xf>
    <xf numFmtId="0" fontId="33" fillId="3" borderId="4" xfId="0" applyFont="1" applyFill="1" applyBorder="1" applyAlignment="1">
      <alignment vertical="center"/>
    </xf>
    <xf numFmtId="0" fontId="0" fillId="3" borderId="0" xfId="0" applyFont="1" applyFill="1" applyBorder="1" applyAlignment="1">
      <alignment vertical="center"/>
    </xf>
    <xf numFmtId="0" fontId="10" fillId="5" borderId="14" xfId="0" applyFont="1" applyFill="1" applyBorder="1" applyAlignment="1">
      <alignment vertical="center"/>
    </xf>
    <xf numFmtId="0" fontId="10" fillId="5" borderId="0" xfId="0" applyFont="1" applyFill="1" applyBorder="1" applyAlignment="1">
      <alignment vertical="center"/>
    </xf>
    <xf numFmtId="0" fontId="10" fillId="4" borderId="14" xfId="0" applyFont="1" applyFill="1" applyBorder="1" applyAlignment="1">
      <alignment vertical="center"/>
    </xf>
    <xf numFmtId="0" fontId="10" fillId="4" borderId="0"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10" fillId="0" borderId="18" xfId="0" applyFont="1" applyBorder="1" applyAlignment="1">
      <alignment vertical="center"/>
    </xf>
    <xf numFmtId="0" fontId="0" fillId="0" borderId="18" xfId="0" applyFont="1" applyBorder="1" applyAlignment="1">
      <alignment horizontal="right" vertical="center"/>
    </xf>
    <xf numFmtId="0" fontId="0" fillId="0" borderId="19" xfId="0" applyFont="1" applyBorder="1" applyAlignment="1">
      <alignment horizontal="right" vertical="center"/>
    </xf>
    <xf numFmtId="0" fontId="10" fillId="0" borderId="18" xfId="0" applyFont="1" applyFill="1" applyBorder="1" applyAlignment="1">
      <alignment vertical="center"/>
    </xf>
    <xf numFmtId="0" fontId="10" fillId="0" borderId="0" xfId="0" applyFont="1" applyFill="1" applyBorder="1" applyAlignment="1">
      <alignment/>
    </xf>
    <xf numFmtId="0" fontId="26" fillId="0" borderId="0" xfId="0" applyFont="1" applyFill="1" applyBorder="1" applyAlignment="1">
      <alignment vertical="center"/>
    </xf>
    <xf numFmtId="0" fontId="34" fillId="0" borderId="0" xfId="0" applyFont="1" applyFill="1" applyBorder="1" applyAlignment="1">
      <alignment vertical="center"/>
    </xf>
    <xf numFmtId="0" fontId="34" fillId="0" borderId="12" xfId="0" applyFont="1" applyFill="1" applyBorder="1" applyAlignment="1">
      <alignment vertical="center"/>
    </xf>
    <xf numFmtId="0" fontId="34" fillId="0" borderId="0" xfId="0" applyFont="1" applyBorder="1" applyAlignment="1">
      <alignment vertical="center"/>
    </xf>
    <xf numFmtId="0" fontId="18" fillId="0" borderId="0" xfId="0" applyFont="1" applyFill="1" applyAlignment="1">
      <alignment/>
    </xf>
    <xf numFmtId="0" fontId="38" fillId="0" borderId="0" xfId="0" applyFont="1" applyFill="1" applyAlignment="1">
      <alignment horizontal="centerContinuous"/>
    </xf>
    <xf numFmtId="0" fontId="18" fillId="0" borderId="0" xfId="0" applyFont="1" applyFill="1" applyAlignment="1">
      <alignment horizontal="centerContinuous"/>
    </xf>
    <xf numFmtId="194" fontId="18" fillId="0" borderId="0" xfId="0" applyNumberFormat="1" applyFont="1" applyFill="1" applyAlignment="1">
      <alignment horizontal="centerContinuous"/>
    </xf>
    <xf numFmtId="0" fontId="39" fillId="0" borderId="0" xfId="0" applyFont="1" applyFill="1" applyAlignment="1">
      <alignment horizontal="centerContinuous"/>
    </xf>
    <xf numFmtId="0" fontId="18" fillId="0" borderId="0" xfId="0" applyFont="1" applyFill="1" applyAlignment="1" applyProtection="1">
      <alignment horizontal="left"/>
      <protection/>
    </xf>
    <xf numFmtId="0" fontId="40" fillId="0" borderId="0" xfId="0" applyFont="1" applyFill="1" applyAlignment="1">
      <alignment/>
    </xf>
    <xf numFmtId="0" fontId="19" fillId="0" borderId="0" xfId="0" applyFont="1" applyFill="1" applyAlignment="1" applyProtection="1">
      <alignment horizontal="center"/>
      <protection/>
    </xf>
    <xf numFmtId="194" fontId="39" fillId="0" borderId="0" xfId="0" applyNumberFormat="1" applyFont="1" applyFill="1" applyAlignment="1" applyProtection="1">
      <alignment horizontal="center"/>
      <protection/>
    </xf>
    <xf numFmtId="0" fontId="39" fillId="0" borderId="0" xfId="0" applyFont="1" applyFill="1" applyAlignment="1" applyProtection="1">
      <alignment horizontal="center"/>
      <protection/>
    </xf>
    <xf numFmtId="0" fontId="40" fillId="0" borderId="0" xfId="0" applyFont="1" applyFill="1" applyAlignment="1" applyProtection="1">
      <alignment horizontal="left"/>
      <protection/>
    </xf>
    <xf numFmtId="0" fontId="41" fillId="0" borderId="0" xfId="0" applyFont="1" applyFill="1" applyAlignment="1" applyProtection="1">
      <alignment horizontal="center" wrapText="1"/>
      <protection/>
    </xf>
    <xf numFmtId="194" fontId="18" fillId="0" borderId="0" xfId="0" applyNumberFormat="1" applyFont="1" applyFill="1" applyAlignment="1">
      <alignment horizontal="center"/>
    </xf>
    <xf numFmtId="43" fontId="18" fillId="0" borderId="0" xfId="15" applyFont="1" applyFill="1" applyAlignment="1">
      <alignment horizontal="center"/>
    </xf>
    <xf numFmtId="194" fontId="39" fillId="0" borderId="0" xfId="0" applyNumberFormat="1" applyFont="1" applyFill="1" applyAlignment="1">
      <alignment horizontal="center"/>
    </xf>
    <xf numFmtId="195" fontId="18" fillId="0" borderId="0" xfId="0" applyNumberFormat="1" applyFont="1" applyFill="1" applyAlignment="1" applyProtection="1">
      <alignment/>
      <protection/>
    </xf>
    <xf numFmtId="194" fontId="18" fillId="0" borderId="0" xfId="0" applyNumberFormat="1" applyFont="1" applyFill="1" applyAlignment="1" applyProtection="1">
      <alignment horizontal="center"/>
      <protection/>
    </xf>
    <xf numFmtId="196" fontId="18" fillId="0" borderId="0" xfId="0" applyNumberFormat="1" applyFont="1" applyFill="1" applyAlignment="1" applyProtection="1">
      <alignment horizontal="center"/>
      <protection/>
    </xf>
    <xf numFmtId="164" fontId="18" fillId="0" borderId="0" xfId="15" applyNumberFormat="1" applyFont="1" applyFill="1" applyAlignment="1" applyProtection="1">
      <alignment horizontal="left"/>
      <protection/>
    </xf>
    <xf numFmtId="0" fontId="18" fillId="0" borderId="0" xfId="0" applyFont="1" applyFill="1" applyAlignment="1">
      <alignment horizontal="center"/>
    </xf>
    <xf numFmtId="0" fontId="39" fillId="0" borderId="0" xfId="0" applyFont="1" applyFill="1" applyAlignment="1">
      <alignment horizontal="center"/>
    </xf>
    <xf numFmtId="196" fontId="18" fillId="0" borderId="0" xfId="0" applyNumberFormat="1" applyFont="1" applyFill="1" applyAlignment="1">
      <alignment horizontal="center"/>
    </xf>
    <xf numFmtId="164" fontId="18" fillId="0" borderId="0" xfId="15" applyNumberFormat="1" applyFont="1" applyFill="1" applyAlignment="1">
      <alignment/>
    </xf>
    <xf numFmtId="164" fontId="39" fillId="0" borderId="0" xfId="15" applyNumberFormat="1" applyFont="1" applyFill="1" applyAlignment="1" applyProtection="1">
      <alignment horizontal="center"/>
      <protection/>
    </xf>
    <xf numFmtId="0" fontId="18" fillId="0" borderId="0" xfId="0" applyFont="1" applyFill="1" applyBorder="1" applyAlignment="1" applyProtection="1">
      <alignment horizontal="left"/>
      <protection/>
    </xf>
    <xf numFmtId="194" fontId="18" fillId="0" borderId="0" xfId="0" applyNumberFormat="1" applyFont="1" applyFill="1" applyBorder="1" applyAlignment="1" applyProtection="1">
      <alignment horizontal="center"/>
      <protection/>
    </xf>
    <xf numFmtId="43" fontId="18" fillId="0" borderId="0" xfId="15" applyFont="1" applyFill="1" applyBorder="1" applyAlignment="1">
      <alignment horizontal="center"/>
    </xf>
    <xf numFmtId="194" fontId="18" fillId="6" borderId="0" xfId="0" applyNumberFormat="1" applyFont="1" applyFill="1" applyBorder="1" applyAlignment="1" applyProtection="1">
      <alignment horizontal="center"/>
      <protection/>
    </xf>
    <xf numFmtId="164" fontId="18" fillId="6" borderId="0" xfId="15" applyNumberFormat="1" applyFont="1" applyFill="1" applyBorder="1" applyAlignment="1" applyProtection="1">
      <alignment horizontal="left"/>
      <protection/>
    </xf>
    <xf numFmtId="194" fontId="39" fillId="6" borderId="0" xfId="0" applyNumberFormat="1" applyFont="1" applyFill="1" applyBorder="1" applyAlignment="1" applyProtection="1">
      <alignment horizontal="center"/>
      <protection/>
    </xf>
    <xf numFmtId="196" fontId="18" fillId="0" borderId="0" xfId="0" applyNumberFormat="1" applyFont="1" applyFill="1" applyBorder="1" applyAlignment="1" applyProtection="1">
      <alignment horizontal="center"/>
      <protection/>
    </xf>
    <xf numFmtId="0" fontId="19" fillId="0" borderId="0" xfId="0" applyFont="1" applyFill="1" applyAlignment="1" applyProtection="1">
      <alignment horizontal="left"/>
      <protection/>
    </xf>
    <xf numFmtId="0" fontId="19" fillId="0" borderId="0" xfId="0" applyFont="1" applyFill="1" applyAlignment="1" applyProtection="1" quotePrefix="1">
      <alignment horizontal="left"/>
      <protection/>
    </xf>
    <xf numFmtId="0" fontId="18" fillId="0" borderId="0" xfId="0" applyFont="1" applyFill="1" applyAlignment="1" quotePrefix="1">
      <alignment/>
    </xf>
    <xf numFmtId="196" fontId="18" fillId="0" borderId="0" xfId="0" applyNumberFormat="1" applyFont="1" applyFill="1" applyAlignment="1">
      <alignment/>
    </xf>
    <xf numFmtId="194" fontId="19" fillId="0" borderId="0" xfId="0" applyNumberFormat="1" applyFont="1" applyFill="1" applyAlignment="1">
      <alignment horizontal="center"/>
    </xf>
    <xf numFmtId="196" fontId="18" fillId="6" borderId="0" xfId="0" applyNumberFormat="1" applyFont="1" applyFill="1" applyAlignment="1" applyProtection="1">
      <alignment horizontal="center"/>
      <protection/>
    </xf>
    <xf numFmtId="0" fontId="40" fillId="0" borderId="1" xfId="0" applyFont="1" applyFill="1" applyBorder="1" applyAlignment="1" applyProtection="1">
      <alignment horizontal="left"/>
      <protection/>
    </xf>
    <xf numFmtId="0" fontId="18" fillId="0" borderId="2" xfId="0" applyFont="1" applyFill="1" applyBorder="1" applyAlignment="1" applyProtection="1">
      <alignment horizontal="left"/>
      <protection/>
    </xf>
    <xf numFmtId="194" fontId="18" fillId="0" borderId="2" xfId="0" applyNumberFormat="1" applyFont="1" applyFill="1" applyBorder="1" applyAlignment="1" applyProtection="1">
      <alignment horizontal="center"/>
      <protection/>
    </xf>
    <xf numFmtId="43" fontId="18" fillId="0" borderId="2" xfId="15" applyFont="1" applyFill="1" applyBorder="1" applyAlignment="1">
      <alignment horizontal="center"/>
    </xf>
    <xf numFmtId="194" fontId="18" fillId="6" borderId="2" xfId="0" applyNumberFormat="1" applyFont="1" applyFill="1" applyBorder="1" applyAlignment="1" applyProtection="1">
      <alignment horizontal="center"/>
      <protection/>
    </xf>
    <xf numFmtId="164" fontId="18" fillId="6" borderId="2" xfId="15" applyNumberFormat="1" applyFont="1" applyFill="1" applyBorder="1" applyAlignment="1" applyProtection="1">
      <alignment horizontal="left"/>
      <protection/>
    </xf>
    <xf numFmtId="194" fontId="39" fillId="6" borderId="2" xfId="0" applyNumberFormat="1" applyFont="1" applyFill="1" applyBorder="1" applyAlignment="1" applyProtection="1">
      <alignment horizontal="center"/>
      <protection/>
    </xf>
    <xf numFmtId="194" fontId="39" fillId="6" borderId="3" xfId="0" applyNumberFormat="1" applyFont="1" applyFill="1" applyBorder="1" applyAlignment="1" applyProtection="1">
      <alignment horizontal="center"/>
      <protection/>
    </xf>
    <xf numFmtId="0" fontId="40" fillId="0" borderId="4" xfId="0" applyFont="1" applyFill="1" applyBorder="1" applyAlignment="1" applyProtection="1">
      <alignment horizontal="left"/>
      <protection/>
    </xf>
    <xf numFmtId="194" fontId="18" fillId="0" borderId="0" xfId="0" applyNumberFormat="1" applyFont="1" applyFill="1" applyBorder="1" applyAlignment="1">
      <alignment horizontal="center"/>
    </xf>
    <xf numFmtId="194" fontId="18" fillId="6" borderId="0" xfId="0" applyNumberFormat="1" applyFont="1" applyFill="1" applyBorder="1" applyAlignment="1">
      <alignment horizontal="center"/>
    </xf>
    <xf numFmtId="194" fontId="39" fillId="6" borderId="0" xfId="0" applyNumberFormat="1" applyFont="1" applyFill="1" applyBorder="1" applyAlignment="1">
      <alignment horizontal="center"/>
    </xf>
    <xf numFmtId="194" fontId="39" fillId="6" borderId="5" xfId="0" applyNumberFormat="1" applyFont="1" applyFill="1" applyBorder="1" applyAlignment="1" applyProtection="1">
      <alignment horizontal="center"/>
      <protection/>
    </xf>
    <xf numFmtId="0" fontId="40" fillId="0" borderId="4" xfId="0" applyFont="1" applyFill="1" applyBorder="1" applyAlignment="1">
      <alignment/>
    </xf>
    <xf numFmtId="0" fontId="18" fillId="0" borderId="0" xfId="0" applyFont="1" applyFill="1" applyBorder="1" applyAlignment="1">
      <alignment/>
    </xf>
    <xf numFmtId="194" fontId="39" fillId="6" borderId="5" xfId="0" applyNumberFormat="1" applyFont="1" applyFill="1" applyBorder="1" applyAlignment="1">
      <alignment horizontal="center"/>
    </xf>
    <xf numFmtId="0" fontId="39" fillId="0" borderId="5" xfId="0" applyFont="1" applyFill="1" applyBorder="1" applyAlignment="1">
      <alignment horizontal="center"/>
    </xf>
    <xf numFmtId="0" fontId="18" fillId="0" borderId="0" xfId="0" applyFont="1" applyFill="1" applyBorder="1" applyAlignment="1">
      <alignment horizontal="center"/>
    </xf>
    <xf numFmtId="194" fontId="24" fillId="0" borderId="0" xfId="0" applyNumberFormat="1" applyFont="1" applyFill="1" applyBorder="1" applyAlignment="1">
      <alignment horizontal="center"/>
    </xf>
    <xf numFmtId="0" fontId="40" fillId="0" borderId="17" xfId="0" applyFont="1" applyFill="1" applyBorder="1" applyAlignment="1">
      <alignment/>
    </xf>
    <xf numFmtId="0" fontId="18" fillId="0" borderId="18" xfId="0" applyFont="1" applyFill="1" applyBorder="1" applyAlignment="1">
      <alignment/>
    </xf>
    <xf numFmtId="194" fontId="18" fillId="0" borderId="18" xfId="0" applyNumberFormat="1" applyFont="1" applyFill="1" applyBorder="1" applyAlignment="1" applyProtection="1">
      <alignment horizontal="center"/>
      <protection/>
    </xf>
    <xf numFmtId="0" fontId="18" fillId="0" borderId="18" xfId="0" applyFont="1" applyFill="1" applyBorder="1" applyAlignment="1">
      <alignment horizontal="center"/>
    </xf>
    <xf numFmtId="194" fontId="24" fillId="0" borderId="18" xfId="0" applyNumberFormat="1" applyFont="1" applyFill="1" applyBorder="1" applyAlignment="1">
      <alignment horizontal="center"/>
    </xf>
    <xf numFmtId="0" fontId="39" fillId="0" borderId="20" xfId="0" applyFont="1" applyFill="1" applyBorder="1" applyAlignment="1">
      <alignment horizontal="center"/>
    </xf>
    <xf numFmtId="194" fontId="24" fillId="0" borderId="0" xfId="0" applyNumberFormat="1" applyFont="1" applyFill="1" applyBorder="1" applyAlignment="1" applyProtection="1">
      <alignment horizontal="center"/>
      <protection/>
    </xf>
    <xf numFmtId="194" fontId="39" fillId="0" borderId="5" xfId="0" applyNumberFormat="1" applyFont="1" applyFill="1" applyBorder="1" applyAlignment="1">
      <alignment horizontal="center"/>
    </xf>
    <xf numFmtId="164" fontId="18" fillId="0" borderId="0" xfId="15" applyNumberFormat="1" applyFont="1" applyFill="1" applyBorder="1" applyAlignment="1" applyProtection="1">
      <alignment horizontal="left"/>
      <protection/>
    </xf>
    <xf numFmtId="0" fontId="40" fillId="0" borderId="17" xfId="0" applyFont="1" applyFill="1" applyBorder="1" applyAlignment="1" applyProtection="1">
      <alignment horizontal="left"/>
      <protection/>
    </xf>
    <xf numFmtId="0" fontId="18" fillId="0" borderId="18" xfId="0" applyFont="1" applyFill="1" applyBorder="1" applyAlignment="1" applyProtection="1">
      <alignment horizontal="left"/>
      <protection/>
    </xf>
    <xf numFmtId="43" fontId="18" fillId="0" borderId="18" xfId="15" applyFont="1" applyFill="1" applyBorder="1" applyAlignment="1">
      <alignment horizontal="center"/>
    </xf>
    <xf numFmtId="164" fontId="18" fillId="0" borderId="18" xfId="15" applyNumberFormat="1" applyFont="1" applyFill="1" applyBorder="1" applyAlignment="1" applyProtection="1">
      <alignment horizontal="left"/>
      <protection/>
    </xf>
    <xf numFmtId="194" fontId="24" fillId="0" borderId="18" xfId="0" applyNumberFormat="1" applyFont="1" applyFill="1" applyBorder="1" applyAlignment="1" applyProtection="1">
      <alignment horizontal="center"/>
      <protection/>
    </xf>
    <xf numFmtId="194" fontId="39" fillId="0" borderId="20" xfId="0" applyNumberFormat="1" applyFont="1" applyFill="1" applyBorder="1" applyAlignment="1">
      <alignment horizontal="center"/>
    </xf>
    <xf numFmtId="0" fontId="12" fillId="3" borderId="6" xfId="0" applyFont="1" applyFill="1" applyBorder="1" applyAlignment="1">
      <alignment vertical="center"/>
    </xf>
    <xf numFmtId="0" fontId="10" fillId="3" borderId="6" xfId="0" applyFont="1" applyFill="1" applyBorder="1" applyAlignment="1">
      <alignment vertical="center"/>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10" fillId="3" borderId="7" xfId="0" applyFont="1" applyFill="1" applyBorder="1" applyAlignment="1">
      <alignment horizontal="right" vertical="center"/>
    </xf>
    <xf numFmtId="0" fontId="44" fillId="0" borderId="0" xfId="0" applyFont="1" applyBorder="1" applyAlignment="1">
      <alignment vertical="center"/>
    </xf>
    <xf numFmtId="0" fontId="44" fillId="0" borderId="0" xfId="0" applyFont="1" applyBorder="1" applyAlignment="1">
      <alignment horizontal="left" vertical="center"/>
    </xf>
    <xf numFmtId="0" fontId="18" fillId="0" borderId="0" xfId="0" applyFont="1" applyFill="1" applyBorder="1" applyAlignment="1">
      <alignment vertical="center"/>
    </xf>
    <xf numFmtId="0" fontId="31" fillId="0" borderId="0" xfId="0" applyFont="1" applyFill="1" applyBorder="1" applyAlignment="1">
      <alignment vertical="center"/>
    </xf>
    <xf numFmtId="0" fontId="40" fillId="0" borderId="4" xfId="0" applyFont="1" applyFill="1" applyBorder="1" applyAlignment="1">
      <alignment vertical="center"/>
    </xf>
    <xf numFmtId="0" fontId="18" fillId="0" borderId="0" xfId="0" applyFont="1" applyBorder="1" applyAlignment="1">
      <alignment/>
    </xf>
    <xf numFmtId="0" fontId="31" fillId="0" borderId="12" xfId="0" applyFont="1" applyFill="1" applyBorder="1" applyAlignment="1">
      <alignment vertical="center"/>
    </xf>
    <xf numFmtId="194" fontId="18" fillId="7" borderId="0" xfId="0" applyNumberFormat="1" applyFont="1" applyFill="1" applyBorder="1" applyAlignment="1" applyProtection="1">
      <alignment horizontal="center"/>
      <protection/>
    </xf>
    <xf numFmtId="194" fontId="24" fillId="7" borderId="0" xfId="0" applyNumberFormat="1" applyFont="1" applyFill="1" applyBorder="1" applyAlignment="1" applyProtection="1">
      <alignment horizontal="center"/>
      <protection/>
    </xf>
    <xf numFmtId="194" fontId="39" fillId="7" borderId="5" xfId="0" applyNumberFormat="1" applyFont="1" applyFill="1" applyBorder="1" applyAlignment="1">
      <alignment horizontal="center"/>
    </xf>
    <xf numFmtId="0" fontId="10" fillId="3" borderId="7" xfId="0" applyFont="1" applyFill="1" applyBorder="1" applyAlignment="1">
      <alignment horizontal="left" vertical="center"/>
    </xf>
    <xf numFmtId="0" fontId="0" fillId="8" borderId="0" xfId="0" applyFill="1" applyAlignment="1">
      <alignment/>
    </xf>
    <xf numFmtId="0" fontId="0" fillId="0" borderId="0" xfId="0" applyFill="1" applyAlignment="1">
      <alignment horizontal="center"/>
    </xf>
    <xf numFmtId="0" fontId="32" fillId="0" borderId="0" xfId="0" applyFont="1" applyFill="1" applyAlignment="1">
      <alignment vertical="top"/>
    </xf>
    <xf numFmtId="203" fontId="32" fillId="0" borderId="0" xfId="0" applyNumberFormat="1" applyFont="1" applyFill="1" applyAlignment="1">
      <alignment vertical="top"/>
    </xf>
    <xf numFmtId="6" fontId="32" fillId="0" borderId="0" xfId="0" applyNumberFormat="1" applyFont="1" applyFill="1" applyAlignment="1">
      <alignment vertical="top"/>
    </xf>
    <xf numFmtId="0" fontId="32" fillId="0" borderId="0" xfId="0" applyFont="1" applyFill="1" applyAlignment="1">
      <alignment vertical="top" wrapText="1"/>
    </xf>
    <xf numFmtId="0" fontId="32" fillId="0" borderId="0" xfId="0" applyFont="1" applyFill="1" applyAlignment="1">
      <alignment horizontal="left" vertical="top" wrapText="1"/>
    </xf>
    <xf numFmtId="0" fontId="32" fillId="0" borderId="0" xfId="0" applyFont="1" applyFill="1" applyBorder="1" applyAlignment="1">
      <alignment horizontal="center" vertical="top" wrapText="1"/>
    </xf>
    <xf numFmtId="0" fontId="32" fillId="0" borderId="0" xfId="0" applyFont="1" applyFill="1" applyBorder="1" applyAlignment="1">
      <alignment vertical="top" wrapText="1"/>
    </xf>
    <xf numFmtId="203" fontId="32" fillId="0" borderId="0" xfId="0" applyNumberFormat="1" applyFont="1" applyFill="1" applyBorder="1" applyAlignment="1">
      <alignment horizontal="left" vertical="top" wrapText="1"/>
    </xf>
    <xf numFmtId="0" fontId="32" fillId="0" borderId="0" xfId="0" applyFont="1" applyFill="1" applyBorder="1" applyAlignment="1">
      <alignment horizontal="left" vertical="top" wrapText="1"/>
    </xf>
    <xf numFmtId="203" fontId="32" fillId="0" borderId="0" xfId="0" applyNumberFormat="1" applyFont="1" applyFill="1" applyAlignment="1">
      <alignment vertical="top" wrapText="1"/>
    </xf>
    <xf numFmtId="0" fontId="32" fillId="0" borderId="0" xfId="0" applyFont="1" applyFill="1" applyBorder="1" applyAlignment="1" quotePrefix="1">
      <alignment horizontal="left" vertical="top" wrapText="1"/>
    </xf>
    <xf numFmtId="203" fontId="46" fillId="0" borderId="0" xfId="0" applyNumberFormat="1" applyFont="1" applyFill="1" applyBorder="1" applyAlignment="1">
      <alignment horizontal="right" vertical="top" wrapText="1"/>
    </xf>
    <xf numFmtId="0" fontId="50" fillId="0" borderId="0" xfId="0" applyFont="1" applyFill="1" applyAlignment="1">
      <alignment vertical="top"/>
    </xf>
    <xf numFmtId="205" fontId="32" fillId="0" borderId="0" xfId="0" applyNumberFormat="1" applyFont="1" applyFill="1" applyAlignment="1">
      <alignment vertical="top" wrapText="1"/>
    </xf>
    <xf numFmtId="0" fontId="0" fillId="9" borderId="0" xfId="0" applyFill="1" applyBorder="1" applyAlignment="1">
      <alignment/>
    </xf>
    <xf numFmtId="0" fontId="0" fillId="10" borderId="0" xfId="0" applyFill="1" applyBorder="1" applyAlignment="1">
      <alignment/>
    </xf>
    <xf numFmtId="0" fontId="2" fillId="0" borderId="0" xfId="0" applyFont="1" applyFill="1" applyBorder="1" applyAlignment="1">
      <alignment/>
    </xf>
    <xf numFmtId="0" fontId="61" fillId="0" borderId="0" xfId="0" applyFont="1" applyFill="1" applyBorder="1" applyAlignment="1">
      <alignment vertical="center"/>
    </xf>
    <xf numFmtId="0" fontId="61" fillId="0" borderId="0" xfId="0" applyFont="1" applyFill="1" applyBorder="1" applyAlignment="1">
      <alignment horizontal="right" vertical="center"/>
    </xf>
    <xf numFmtId="0" fontId="61" fillId="0" borderId="12" xfId="0" applyFont="1" applyFill="1" applyBorder="1" applyAlignment="1">
      <alignment vertical="center"/>
    </xf>
    <xf numFmtId="0" fontId="34" fillId="0" borderId="0" xfId="0" applyFont="1" applyFill="1" applyBorder="1" applyAlignment="1">
      <alignment horizontal="left" vertical="center"/>
    </xf>
    <xf numFmtId="0" fontId="10" fillId="4" borderId="10" xfId="0" applyFont="1" applyFill="1" applyBorder="1" applyAlignment="1">
      <alignment vertical="center"/>
    </xf>
    <xf numFmtId="0" fontId="4" fillId="0" borderId="12" xfId="0" applyFont="1" applyBorder="1" applyAlignment="1">
      <alignment horizontal="center"/>
    </xf>
    <xf numFmtId="0" fontId="10" fillId="0" borderId="0" xfId="0" applyFont="1" applyFill="1" applyBorder="1" applyAlignment="1">
      <alignment horizontal="right"/>
    </xf>
    <xf numFmtId="0" fontId="10" fillId="0" borderId="0" xfId="0" applyFont="1" applyFill="1" applyBorder="1" applyAlignment="1">
      <alignment horizontal="left"/>
    </xf>
    <xf numFmtId="0" fontId="10" fillId="0" borderId="12" xfId="0" applyFont="1" applyBorder="1" applyAlignment="1">
      <alignment/>
    </xf>
    <xf numFmtId="0" fontId="10" fillId="0" borderId="12" xfId="0" applyFont="1" applyFill="1" applyBorder="1" applyAlignment="1">
      <alignment/>
    </xf>
    <xf numFmtId="0" fontId="10" fillId="0" borderId="0" xfId="0" applyFont="1" applyBorder="1" applyAlignment="1">
      <alignment horizontal="right"/>
    </xf>
    <xf numFmtId="0" fontId="36" fillId="0" borderId="0" xfId="0" applyFont="1" applyBorder="1" applyAlignment="1">
      <alignment/>
    </xf>
    <xf numFmtId="0" fontId="36" fillId="0" borderId="12" xfId="0" applyFont="1" applyBorder="1" applyAlignment="1">
      <alignment/>
    </xf>
    <xf numFmtId="0" fontId="36" fillId="0" borderId="0" xfId="0" applyFont="1" applyBorder="1" applyAlignment="1">
      <alignment horizontal="right"/>
    </xf>
    <xf numFmtId="0" fontId="36" fillId="0" borderId="0" xfId="0" applyFont="1" applyFill="1" applyBorder="1" applyAlignment="1">
      <alignment/>
    </xf>
    <xf numFmtId="0" fontId="36" fillId="0" borderId="0" xfId="0" applyFont="1" applyFill="1" applyBorder="1" applyAlignment="1">
      <alignment horizontal="center" vertical="center"/>
    </xf>
    <xf numFmtId="0" fontId="45" fillId="0" borderId="4"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0" borderId="0" xfId="0" applyFont="1" applyFill="1" applyBorder="1" applyAlignment="1">
      <alignment horizontal="left" vertical="center"/>
    </xf>
    <xf numFmtId="0" fontId="45" fillId="0" borderId="4" xfId="0" applyFont="1" applyFill="1" applyBorder="1" applyAlignment="1">
      <alignment vertical="center"/>
    </xf>
    <xf numFmtId="0" fontId="10" fillId="3" borderId="21" xfId="0" applyFont="1" applyFill="1" applyBorder="1" applyAlignment="1">
      <alignment vertical="center"/>
    </xf>
    <xf numFmtId="0" fontId="62" fillId="0" borderId="0" xfId="0" applyFont="1" applyFill="1" applyBorder="1" applyAlignment="1">
      <alignment vertical="center"/>
    </xf>
    <xf numFmtId="0" fontId="12" fillId="0" borderId="0" xfId="0" applyFont="1" applyFill="1" applyBorder="1" applyAlignment="1">
      <alignment horizontal="right" vertical="center"/>
    </xf>
    <xf numFmtId="0" fontId="63" fillId="3" borderId="6" xfId="0" applyFont="1" applyFill="1" applyBorder="1" applyAlignment="1">
      <alignment horizontal="left" vertical="center"/>
    </xf>
    <xf numFmtId="0" fontId="63" fillId="3" borderId="7" xfId="0" applyFont="1" applyFill="1" applyBorder="1" applyAlignment="1">
      <alignment horizontal="left" vertical="center"/>
    </xf>
    <xf numFmtId="0" fontId="12" fillId="3" borderId="10" xfId="0" applyFont="1" applyFill="1" applyBorder="1" applyAlignment="1">
      <alignment horizontal="left" vertical="center"/>
    </xf>
    <xf numFmtId="0" fontId="45" fillId="0" borderId="0" xfId="0" applyFont="1" applyFill="1" applyBorder="1" applyAlignment="1">
      <alignment vertical="center"/>
    </xf>
    <xf numFmtId="0" fontId="10" fillId="3" borderId="15" xfId="0" applyFont="1" applyFill="1" applyBorder="1" applyAlignment="1">
      <alignment vertical="center"/>
    </xf>
    <xf numFmtId="0" fontId="10" fillId="3" borderId="16" xfId="0" applyFont="1" applyFill="1" applyBorder="1" applyAlignment="1">
      <alignment vertical="center"/>
    </xf>
    <xf numFmtId="0" fontId="62" fillId="3" borderId="7" xfId="0" applyFont="1" applyFill="1" applyBorder="1" applyAlignment="1">
      <alignment vertical="center"/>
    </xf>
    <xf numFmtId="0" fontId="63" fillId="3" borderId="6" xfId="0" applyFont="1" applyFill="1" applyBorder="1" applyAlignment="1">
      <alignment vertical="center"/>
    </xf>
    <xf numFmtId="0" fontId="12" fillId="3" borderId="7" xfId="0" applyFont="1" applyFill="1" applyBorder="1" applyAlignment="1">
      <alignment horizontal="left" vertical="center"/>
    </xf>
    <xf numFmtId="0" fontId="63" fillId="3" borderId="10" xfId="0" applyFont="1" applyFill="1" applyBorder="1" applyAlignment="1">
      <alignment horizontal="right" vertical="center"/>
    </xf>
    <xf numFmtId="0" fontId="10" fillId="3" borderId="12" xfId="0" applyFont="1" applyFill="1" applyBorder="1" applyAlignment="1">
      <alignment vertical="center"/>
    </xf>
    <xf numFmtId="0" fontId="63" fillId="0" borderId="0" xfId="0" applyFont="1" applyFill="1" applyBorder="1" applyAlignment="1">
      <alignment horizontal="left" vertical="center"/>
    </xf>
    <xf numFmtId="0" fontId="12" fillId="0" borderId="0" xfId="0" applyFont="1" applyFill="1" applyBorder="1" applyAlignment="1">
      <alignment horizontal="left" vertical="center"/>
    </xf>
    <xf numFmtId="0" fontId="63" fillId="0" borderId="0" xfId="0" applyFont="1" applyFill="1" applyBorder="1" applyAlignment="1">
      <alignment vertical="center"/>
    </xf>
    <xf numFmtId="0" fontId="64" fillId="0" borderId="0" xfId="0" applyFont="1" applyFill="1" applyBorder="1" applyAlignment="1">
      <alignment vertical="center"/>
    </xf>
    <xf numFmtId="0" fontId="64" fillId="0" borderId="0" xfId="0" applyFont="1" applyBorder="1" applyAlignment="1">
      <alignment vertical="center"/>
    </xf>
    <xf numFmtId="0" fontId="64" fillId="0" borderId="0" xfId="0" applyFont="1" applyFill="1" applyBorder="1" applyAlignment="1">
      <alignment horizontal="right" vertical="center"/>
    </xf>
    <xf numFmtId="0" fontId="64" fillId="0" borderId="12" xfId="0" applyFont="1" applyFill="1" applyBorder="1" applyAlignment="1">
      <alignment vertical="center"/>
    </xf>
    <xf numFmtId="0" fontId="64" fillId="0" borderId="0" xfId="0" applyFont="1" applyBorder="1" applyAlignment="1">
      <alignment horizontal="right" vertical="center"/>
    </xf>
    <xf numFmtId="0" fontId="10" fillId="5" borderId="10" xfId="0" applyFont="1" applyFill="1" applyBorder="1" applyAlignment="1">
      <alignment vertical="center"/>
    </xf>
    <xf numFmtId="183" fontId="0" fillId="0" borderId="0" xfId="0" applyNumberFormat="1" applyFill="1" applyAlignment="1">
      <alignment/>
    </xf>
    <xf numFmtId="183" fontId="21" fillId="11" borderId="0" xfId="17" applyNumberFormat="1" applyFont="1" applyFill="1" applyAlignment="1">
      <alignment/>
    </xf>
    <xf numFmtId="183" fontId="20" fillId="11" borderId="0" xfId="0" applyNumberFormat="1" applyFont="1" applyFill="1" applyAlignment="1">
      <alignment/>
    </xf>
    <xf numFmtId="0" fontId="0" fillId="0" borderId="0" xfId="0" applyAlignment="1">
      <alignment horizontal="right"/>
    </xf>
    <xf numFmtId="0" fontId="3" fillId="0" borderId="0" xfId="0" applyFont="1" applyAlignment="1">
      <alignment horizontal="right"/>
    </xf>
    <xf numFmtId="0" fontId="3" fillId="0" borderId="0" xfId="0" applyFont="1" applyAlignment="1">
      <alignment/>
    </xf>
    <xf numFmtId="0" fontId="65" fillId="0" borderId="0" xfId="0" applyFont="1" applyBorder="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0" fontId="6" fillId="0" borderId="0" xfId="0" applyFont="1" applyBorder="1" applyAlignment="1">
      <alignment horizontal="centerContinuous"/>
    </xf>
    <xf numFmtId="0" fontId="6" fillId="0" borderId="0" xfId="0" applyFont="1" applyAlignment="1">
      <alignment horizontal="centerContinuous"/>
    </xf>
    <xf numFmtId="0" fontId="19" fillId="0" borderId="0" xfId="0" applyFont="1" applyBorder="1" applyAlignment="1">
      <alignment/>
    </xf>
    <xf numFmtId="0" fontId="2" fillId="0" borderId="22" xfId="0" applyFont="1" applyBorder="1" applyAlignment="1">
      <alignment horizontal="center"/>
    </xf>
    <xf numFmtId="0" fontId="58" fillId="0" borderId="1" xfId="0" applyFont="1" applyBorder="1" applyAlignment="1">
      <alignment horizontal="centerContinuous"/>
    </xf>
    <xf numFmtId="0" fontId="43" fillId="0" borderId="2" xfId="0" applyFont="1" applyBorder="1" applyAlignment="1">
      <alignment horizontal="centerContinuous"/>
    </xf>
    <xf numFmtId="0" fontId="43" fillId="0" borderId="22" xfId="0" applyFont="1" applyBorder="1" applyAlignment="1">
      <alignment horizontal="centerContinuous"/>
    </xf>
    <xf numFmtId="0" fontId="0" fillId="0" borderId="2" xfId="0" applyBorder="1" applyAlignment="1">
      <alignment horizontal="center"/>
    </xf>
    <xf numFmtId="0" fontId="30" fillId="0" borderId="23" xfId="0" applyFont="1" applyBorder="1" applyAlignment="1">
      <alignment horizontal="center"/>
    </xf>
    <xf numFmtId="0" fontId="0" fillId="0" borderId="22"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2" fillId="0" borderId="22" xfId="0" applyFont="1" applyFill="1" applyBorder="1" applyAlignment="1">
      <alignment horizontal="center"/>
    </xf>
    <xf numFmtId="0" fontId="38" fillId="0" borderId="0" xfId="0" applyFont="1" applyBorder="1" applyAlignment="1">
      <alignment/>
    </xf>
    <xf numFmtId="0" fontId="0" fillId="0" borderId="24" xfId="0" applyBorder="1" applyAlignment="1">
      <alignment horizontal="center"/>
    </xf>
    <xf numFmtId="0" fontId="0" fillId="0" borderId="0" xfId="0" applyAlignment="1">
      <alignment horizontal="center" wrapText="1"/>
    </xf>
    <xf numFmtId="0" fontId="43" fillId="0" borderId="17" xfId="0" applyFont="1" applyBorder="1" applyAlignment="1">
      <alignment horizontal="center"/>
    </xf>
    <xf numFmtId="0" fontId="43" fillId="0" borderId="18" xfId="0" applyFont="1" applyBorder="1" applyAlignment="1">
      <alignment horizontal="center"/>
    </xf>
    <xf numFmtId="0" fontId="43" fillId="0" borderId="18" xfId="0" applyFont="1" applyFill="1" applyBorder="1" applyAlignment="1">
      <alignment horizontal="center"/>
    </xf>
    <xf numFmtId="0" fontId="58" fillId="0" borderId="24" xfId="0" applyFont="1" applyFill="1" applyBorder="1" applyAlignment="1">
      <alignment horizontal="center" wrapText="1"/>
    </xf>
    <xf numFmtId="0" fontId="0" fillId="0" borderId="18" xfId="0" applyFill="1" applyBorder="1" applyAlignment="1">
      <alignment horizontal="center" wrapText="1"/>
    </xf>
    <xf numFmtId="0" fontId="30" fillId="0" borderId="25" xfId="0" applyFont="1" applyFill="1" applyBorder="1" applyAlignment="1">
      <alignment horizontal="center"/>
    </xf>
    <xf numFmtId="0" fontId="0" fillId="0" borderId="0" xfId="0" applyFont="1" applyFill="1" applyBorder="1" applyAlignment="1">
      <alignment horizontal="center" wrapText="1"/>
    </xf>
    <xf numFmtId="0" fontId="43" fillId="0" borderId="17" xfId="0" applyFont="1" applyBorder="1" applyAlignment="1" quotePrefix="1">
      <alignment horizontal="center"/>
    </xf>
    <xf numFmtId="0" fontId="2" fillId="0" borderId="24" xfId="0" applyFont="1" applyFill="1" applyBorder="1" applyAlignment="1">
      <alignment horizontal="center"/>
    </xf>
    <xf numFmtId="0" fontId="0" fillId="0" borderId="20" xfId="0" applyBorder="1" applyAlignment="1">
      <alignment horizontal="center"/>
    </xf>
    <xf numFmtId="0" fontId="2" fillId="0" borderId="24" xfId="0" applyFont="1" applyBorder="1" applyAlignment="1">
      <alignment horizontal="center"/>
    </xf>
    <xf numFmtId="203" fontId="2" fillId="10" borderId="0" xfId="15" applyNumberFormat="1" applyFont="1" applyFill="1" applyBorder="1" applyAlignment="1">
      <alignment/>
    </xf>
    <xf numFmtId="203" fontId="0" fillId="10" borderId="0" xfId="0" applyNumberFormat="1" applyFill="1" applyAlignment="1">
      <alignment horizontal="center"/>
    </xf>
    <xf numFmtId="203" fontId="43" fillId="10" borderId="0" xfId="15" applyNumberFormat="1" applyFont="1" applyFill="1" applyBorder="1" applyAlignment="1">
      <alignment/>
    </xf>
    <xf numFmtId="203" fontId="58" fillId="10" borderId="26" xfId="15" applyNumberFormat="1" applyFont="1" applyFill="1" applyBorder="1" applyAlignment="1">
      <alignment/>
    </xf>
    <xf numFmtId="203" fontId="0" fillId="10" borderId="0" xfId="0" applyNumberFormat="1" applyFill="1" applyAlignment="1">
      <alignment/>
    </xf>
    <xf numFmtId="203" fontId="0" fillId="0" borderId="25" xfId="0" applyNumberFormat="1" applyFont="1" applyBorder="1" applyAlignment="1">
      <alignment/>
    </xf>
    <xf numFmtId="203" fontId="0" fillId="0" borderId="0" xfId="0" applyNumberFormat="1" applyAlignment="1">
      <alignment horizontal="center"/>
    </xf>
    <xf numFmtId="203" fontId="0" fillId="0" borderId="0" xfId="0" applyNumberFormat="1" applyAlignment="1">
      <alignment horizontal="right"/>
    </xf>
    <xf numFmtId="203" fontId="2" fillId="0" borderId="26" xfId="0" applyNumberFormat="1" applyFont="1" applyBorder="1" applyAlignment="1">
      <alignment horizontal="right"/>
    </xf>
    <xf numFmtId="203" fontId="2" fillId="0" borderId="0" xfId="0" applyNumberFormat="1" applyFont="1" applyAlignment="1">
      <alignment horizontal="right"/>
    </xf>
    <xf numFmtId="0" fontId="0" fillId="12" borderId="0" xfId="0" applyFill="1" applyBorder="1" applyAlignment="1">
      <alignment/>
    </xf>
    <xf numFmtId="203" fontId="2" fillId="12" borderId="0" xfId="15" applyNumberFormat="1" applyFont="1" applyFill="1" applyBorder="1" applyAlignment="1">
      <alignment/>
    </xf>
    <xf numFmtId="203" fontId="0" fillId="12" borderId="0" xfId="0" applyNumberFormat="1" applyFill="1" applyAlignment="1">
      <alignment horizontal="center"/>
    </xf>
    <xf numFmtId="203" fontId="43" fillId="12" borderId="0" xfId="15" applyNumberFormat="1" applyFont="1" applyFill="1" applyBorder="1" applyAlignment="1">
      <alignment/>
    </xf>
    <xf numFmtId="203" fontId="58" fillId="12" borderId="26" xfId="15" applyNumberFormat="1" applyFont="1" applyFill="1" applyBorder="1" applyAlignment="1">
      <alignment/>
    </xf>
    <xf numFmtId="203" fontId="32" fillId="12" borderId="0" xfId="0" applyNumberFormat="1" applyFont="1" applyFill="1" applyAlignment="1">
      <alignment/>
    </xf>
    <xf numFmtId="203" fontId="0" fillId="0" borderId="25" xfId="0" applyNumberFormat="1" applyBorder="1" applyAlignment="1">
      <alignment/>
    </xf>
    <xf numFmtId="203" fontId="0" fillId="9" borderId="27" xfId="15" applyNumberFormat="1" applyFont="1" applyFill="1" applyBorder="1" applyAlignment="1">
      <alignment/>
    </xf>
    <xf numFmtId="203" fontId="0" fillId="9" borderId="0" xfId="15" applyNumberFormat="1" applyFill="1" applyAlignment="1">
      <alignment horizontal="center"/>
    </xf>
    <xf numFmtId="203" fontId="66" fillId="9" borderId="0" xfId="15" applyNumberFormat="1" applyFont="1" applyFill="1" applyBorder="1" applyAlignment="1">
      <alignment/>
    </xf>
    <xf numFmtId="203" fontId="67" fillId="9" borderId="0" xfId="0" applyNumberFormat="1" applyFont="1" applyFill="1" applyBorder="1" applyAlignment="1">
      <alignment horizontal="centerContinuous" wrapText="1"/>
    </xf>
    <xf numFmtId="203" fontId="43" fillId="9" borderId="0" xfId="0" applyNumberFormat="1" applyFont="1" applyFill="1" applyBorder="1" applyAlignment="1">
      <alignment horizontal="centerContinuous" wrapText="1"/>
    </xf>
    <xf numFmtId="203" fontId="43" fillId="9" borderId="26" xfId="0" applyNumberFormat="1" applyFont="1" applyFill="1" applyBorder="1" applyAlignment="1">
      <alignment horizontal="centerContinuous" wrapText="1"/>
    </xf>
    <xf numFmtId="203" fontId="1" fillId="9" borderId="0" xfId="0" applyNumberFormat="1" applyFont="1" applyFill="1" applyAlignment="1">
      <alignment/>
    </xf>
    <xf numFmtId="203" fontId="0" fillId="0" borderId="28" xfId="0" applyNumberFormat="1" applyBorder="1" applyAlignment="1">
      <alignment/>
    </xf>
    <xf numFmtId="203" fontId="0" fillId="2" borderId="16" xfId="0" applyNumberFormat="1" applyFont="1" applyFill="1" applyBorder="1" applyAlignment="1">
      <alignment horizontal="center"/>
    </xf>
    <xf numFmtId="203" fontId="0" fillId="2" borderId="16" xfId="0" applyNumberFormat="1" applyFill="1" applyBorder="1" applyAlignment="1">
      <alignment horizontal="right"/>
    </xf>
    <xf numFmtId="203" fontId="0" fillId="2" borderId="29" xfId="0" applyNumberFormat="1" applyFill="1" applyBorder="1" applyAlignment="1">
      <alignment horizontal="right"/>
    </xf>
    <xf numFmtId="203" fontId="2" fillId="0" borderId="16" xfId="0" applyNumberFormat="1" applyFont="1" applyBorder="1" applyAlignment="1">
      <alignment horizontal="right"/>
    </xf>
    <xf numFmtId="0" fontId="2" fillId="2" borderId="0" xfId="0" applyFont="1" applyFill="1" applyBorder="1" applyAlignment="1">
      <alignment/>
    </xf>
    <xf numFmtId="203" fontId="2" fillId="2" borderId="0" xfId="15" applyNumberFormat="1" applyFont="1" applyFill="1" applyBorder="1" applyAlignment="1">
      <alignment/>
    </xf>
    <xf numFmtId="203" fontId="2" fillId="2" borderId="0" xfId="0" applyNumberFormat="1" applyFont="1" applyFill="1" applyAlignment="1">
      <alignment horizontal="center"/>
    </xf>
    <xf numFmtId="203" fontId="58" fillId="2" borderId="0" xfId="15" applyNumberFormat="1" applyFont="1" applyFill="1" applyBorder="1" applyAlignment="1">
      <alignment/>
    </xf>
    <xf numFmtId="203" fontId="58" fillId="2" borderId="0" xfId="0" applyNumberFormat="1" applyFont="1" applyFill="1" applyBorder="1" applyAlignment="1">
      <alignment/>
    </xf>
    <xf numFmtId="203" fontId="58" fillId="2" borderId="24" xfId="0" applyNumberFormat="1" applyFont="1" applyFill="1" applyBorder="1" applyAlignment="1">
      <alignment/>
    </xf>
    <xf numFmtId="203" fontId="2" fillId="2" borderId="0" xfId="0" applyNumberFormat="1" applyFont="1" applyFill="1" applyAlignment="1">
      <alignment/>
    </xf>
    <xf numFmtId="203" fontId="3" fillId="0" borderId="30" xfId="0" applyNumberFormat="1" applyFont="1" applyBorder="1" applyAlignment="1">
      <alignment/>
    </xf>
    <xf numFmtId="203" fontId="2" fillId="0" borderId="24" xfId="0" applyNumberFormat="1" applyFont="1" applyBorder="1" applyAlignment="1">
      <alignment horizontal="right"/>
    </xf>
    <xf numFmtId="0" fontId="19" fillId="0" borderId="0" xfId="0" applyFont="1" applyFill="1" applyBorder="1" applyAlignment="1">
      <alignment/>
    </xf>
    <xf numFmtId="203" fontId="2" fillId="0" borderId="0" xfId="15" applyNumberFormat="1" applyFont="1" applyFill="1" applyBorder="1" applyAlignment="1">
      <alignment/>
    </xf>
    <xf numFmtId="203" fontId="2" fillId="0" borderId="0" xfId="0" applyNumberFormat="1" applyFont="1" applyFill="1" applyAlignment="1">
      <alignment horizontal="center"/>
    </xf>
    <xf numFmtId="203" fontId="58" fillId="0" borderId="0" xfId="15" applyNumberFormat="1" applyFont="1" applyFill="1" applyBorder="1" applyAlignment="1">
      <alignment/>
    </xf>
    <xf numFmtId="203" fontId="58" fillId="0" borderId="0" xfId="0" applyNumberFormat="1" applyFont="1" applyFill="1" applyBorder="1" applyAlignment="1">
      <alignment/>
    </xf>
    <xf numFmtId="203" fontId="2" fillId="0" borderId="0" xfId="0" applyNumberFormat="1" applyFont="1" applyFill="1" applyAlignment="1">
      <alignment/>
    </xf>
    <xf numFmtId="203" fontId="0" fillId="0" borderId="0" xfId="0" applyNumberFormat="1" applyFill="1" applyAlignment="1">
      <alignment/>
    </xf>
    <xf numFmtId="203" fontId="0" fillId="0" borderId="0" xfId="0" applyNumberFormat="1" applyFill="1" applyAlignment="1">
      <alignment horizontal="center"/>
    </xf>
    <xf numFmtId="203" fontId="0" fillId="0" borderId="0" xfId="0" applyNumberFormat="1" applyFill="1" applyAlignment="1">
      <alignment horizontal="right"/>
    </xf>
    <xf numFmtId="203" fontId="2" fillId="0" borderId="0" xfId="0" applyNumberFormat="1" applyFont="1" applyFill="1" applyAlignment="1">
      <alignment horizontal="right"/>
    </xf>
    <xf numFmtId="0" fontId="18" fillId="0" borderId="0" xfId="0" applyFont="1" applyBorder="1" applyAlignment="1">
      <alignment/>
    </xf>
    <xf numFmtId="203" fontId="2" fillId="0" borderId="0" xfId="0" applyNumberFormat="1" applyFont="1" applyFill="1" applyBorder="1" applyAlignment="1">
      <alignment/>
    </xf>
    <xf numFmtId="203" fontId="2" fillId="0" borderId="31" xfId="15" applyNumberFormat="1" applyFont="1" applyBorder="1" applyAlignment="1">
      <alignment horizontal="center"/>
    </xf>
    <xf numFmtId="203" fontId="2" fillId="0" borderId="0" xfId="0" applyNumberFormat="1" applyFont="1" applyAlignment="1">
      <alignment horizontal="center"/>
    </xf>
    <xf numFmtId="203" fontId="2" fillId="0" borderId="0" xfId="15" applyNumberFormat="1" applyFont="1" applyBorder="1" applyAlignment="1">
      <alignment horizontal="center"/>
    </xf>
    <xf numFmtId="203" fontId="2" fillId="0" borderId="0" xfId="0" applyNumberFormat="1" applyFont="1" applyBorder="1" applyAlignment="1">
      <alignment horizontal="center"/>
    </xf>
    <xf numFmtId="203" fontId="2" fillId="0" borderId="32" xfId="15" applyNumberFormat="1" applyFont="1" applyBorder="1" applyAlignment="1">
      <alignment horizontal="center"/>
    </xf>
    <xf numFmtId="203" fontId="0" fillId="10" borderId="0" xfId="15" applyNumberFormat="1" applyFill="1" applyBorder="1" applyAlignment="1">
      <alignment/>
    </xf>
    <xf numFmtId="203" fontId="0" fillId="10" borderId="0" xfId="0" applyNumberFormat="1" applyFill="1" applyBorder="1" applyAlignment="1">
      <alignment/>
    </xf>
    <xf numFmtId="203" fontId="0" fillId="10" borderId="0" xfId="15" applyNumberFormat="1" applyFont="1" applyFill="1" applyAlignment="1">
      <alignment/>
    </xf>
    <xf numFmtId="203" fontId="0" fillId="12" borderId="0" xfId="15" applyNumberFormat="1" applyFill="1" applyBorder="1" applyAlignment="1">
      <alignment/>
    </xf>
    <xf numFmtId="203" fontId="0" fillId="12" borderId="0" xfId="0" applyNumberFormat="1" applyFill="1" applyAlignment="1">
      <alignment horizontal="centerContinuous"/>
    </xf>
    <xf numFmtId="203" fontId="0" fillId="12" borderId="0" xfId="15" applyNumberFormat="1" applyFill="1" applyBorder="1" applyAlignment="1">
      <alignment horizontal="centerContinuous"/>
    </xf>
    <xf numFmtId="203" fontId="0" fillId="12" borderId="0" xfId="0" applyNumberFormat="1" applyFill="1" applyBorder="1" applyAlignment="1">
      <alignment horizontal="centerContinuous"/>
    </xf>
    <xf numFmtId="203" fontId="0" fillId="12" borderId="0" xfId="0" applyNumberFormat="1" applyFill="1" applyBorder="1" applyAlignment="1">
      <alignment/>
    </xf>
    <xf numFmtId="203" fontId="0" fillId="12" borderId="0" xfId="15" applyNumberFormat="1" applyFill="1" applyAlignment="1">
      <alignment/>
    </xf>
    <xf numFmtId="203" fontId="0" fillId="0" borderId="0" xfId="0" applyNumberFormat="1" applyAlignment="1">
      <alignment/>
    </xf>
    <xf numFmtId="0" fontId="0" fillId="12" borderId="0" xfId="0" applyFont="1" applyFill="1" applyBorder="1" applyAlignment="1">
      <alignment/>
    </xf>
    <xf numFmtId="203" fontId="0" fillId="12" borderId="0" xfId="15" applyNumberFormat="1" applyFont="1" applyFill="1" applyBorder="1" applyAlignment="1">
      <alignment/>
    </xf>
    <xf numFmtId="203" fontId="43" fillId="12" borderId="0" xfId="0" applyNumberFormat="1" applyFont="1" applyFill="1" applyAlignment="1">
      <alignment horizontal="centerContinuous" wrapText="1"/>
    </xf>
    <xf numFmtId="203" fontId="0" fillId="12" borderId="0" xfId="0" applyNumberFormat="1" applyFont="1" applyFill="1" applyAlignment="1">
      <alignment horizontal="centerContinuous" wrapText="1"/>
    </xf>
    <xf numFmtId="203" fontId="0" fillId="12" borderId="0" xfId="0" applyNumberFormat="1" applyFont="1" applyFill="1" applyBorder="1" applyAlignment="1">
      <alignment horizontal="centerContinuous" wrapText="1"/>
    </xf>
    <xf numFmtId="203" fontId="0" fillId="12" borderId="16" xfId="15" applyNumberFormat="1" applyFont="1" applyFill="1" applyBorder="1" applyAlignment="1">
      <alignment/>
    </xf>
    <xf numFmtId="203" fontId="0" fillId="12" borderId="0" xfId="0" applyNumberFormat="1" applyFill="1" applyAlignment="1">
      <alignment/>
    </xf>
    <xf numFmtId="203" fontId="0" fillId="9" borderId="27" xfId="15" applyNumberFormat="1" applyFill="1" applyBorder="1" applyAlignment="1">
      <alignment/>
    </xf>
    <xf numFmtId="203" fontId="0" fillId="9" borderId="0" xfId="0" applyNumberFormat="1" applyFill="1" applyAlignment="1">
      <alignment horizontal="center"/>
    </xf>
    <xf numFmtId="203" fontId="0" fillId="9" borderId="0" xfId="0" applyNumberFormat="1" applyFill="1" applyAlignment="1">
      <alignment/>
    </xf>
    <xf numFmtId="203" fontId="0" fillId="9" borderId="0" xfId="0" applyNumberFormat="1" applyFill="1" applyBorder="1" applyAlignment="1">
      <alignment/>
    </xf>
    <xf numFmtId="203" fontId="0" fillId="0" borderId="30" xfId="0" applyNumberFormat="1" applyBorder="1" applyAlignment="1">
      <alignment/>
    </xf>
    <xf numFmtId="203" fontId="0" fillId="0" borderId="0" xfId="0" applyNumberFormat="1" applyAlignment="1">
      <alignment horizontal="left"/>
    </xf>
    <xf numFmtId="203" fontId="2" fillId="2" borderId="0" xfId="0" applyNumberFormat="1" applyFont="1" applyFill="1" applyBorder="1" applyAlignment="1">
      <alignment/>
    </xf>
    <xf numFmtId="203" fontId="2" fillId="2" borderId="0" xfId="15" applyNumberFormat="1" applyFont="1" applyFill="1" applyAlignment="1">
      <alignment/>
    </xf>
    <xf numFmtId="0" fontId="0" fillId="3" borderId="0" xfId="0" applyFill="1" applyAlignment="1">
      <alignment/>
    </xf>
    <xf numFmtId="0" fontId="18" fillId="3" borderId="0" xfId="0" applyFont="1" applyFill="1" applyBorder="1" applyAlignment="1">
      <alignment/>
    </xf>
    <xf numFmtId="0" fontId="42" fillId="3" borderId="0" xfId="0" applyFont="1" applyFill="1" applyBorder="1" applyAlignment="1">
      <alignment/>
    </xf>
    <xf numFmtId="203" fontId="42" fillId="3" borderId="0" xfId="15" applyNumberFormat="1" applyFont="1" applyFill="1" applyBorder="1" applyAlignment="1">
      <alignment/>
    </xf>
    <xf numFmtId="203" fontId="42" fillId="3" borderId="0" xfId="15" applyNumberFormat="1" applyFont="1" applyFill="1" applyBorder="1" applyAlignment="1">
      <alignment horizontal="center"/>
    </xf>
    <xf numFmtId="203" fontId="42" fillId="3" borderId="0" xfId="0" applyNumberFormat="1" applyFont="1" applyFill="1" applyBorder="1" applyAlignment="1">
      <alignment/>
    </xf>
    <xf numFmtId="203" fontId="42" fillId="3" borderId="0" xfId="15" applyNumberFormat="1" applyFont="1" applyFill="1" applyAlignment="1">
      <alignment/>
    </xf>
    <xf numFmtId="203" fontId="0" fillId="3" borderId="0" xfId="0" applyNumberFormat="1" applyFill="1" applyAlignment="1">
      <alignment/>
    </xf>
    <xf numFmtId="203" fontId="0" fillId="3" borderId="0" xfId="0" applyNumberFormat="1" applyFill="1" applyAlignment="1">
      <alignment horizontal="center"/>
    </xf>
    <xf numFmtId="203" fontId="0" fillId="0" borderId="0" xfId="15" applyNumberFormat="1" applyBorder="1" applyAlignment="1">
      <alignment/>
    </xf>
    <xf numFmtId="203" fontId="0" fillId="0" borderId="0" xfId="15" applyNumberFormat="1" applyBorder="1" applyAlignment="1">
      <alignment horizontal="center"/>
    </xf>
    <xf numFmtId="0" fontId="0" fillId="0" borderId="1" xfId="0" applyBorder="1" applyAlignment="1">
      <alignment horizontal="centerContinuous"/>
    </xf>
    <xf numFmtId="0" fontId="0" fillId="0" borderId="2" xfId="0" applyBorder="1" applyAlignment="1">
      <alignment horizontal="centerContinuous"/>
    </xf>
    <xf numFmtId="0" fontId="0" fillId="0" borderId="3" xfId="0" applyFill="1" applyBorder="1" applyAlignment="1">
      <alignment horizontal="centerContinuous"/>
    </xf>
    <xf numFmtId="0" fontId="2" fillId="0" borderId="3" xfId="0" applyFont="1" applyBorder="1" applyAlignment="1">
      <alignment horizontal="center"/>
    </xf>
    <xf numFmtId="0" fontId="0" fillId="0" borderId="3" xfId="0" applyBorder="1" applyAlignment="1">
      <alignment horizontal="centerContinuous"/>
    </xf>
    <xf numFmtId="0" fontId="3" fillId="0" borderId="2" xfId="0" applyFont="1" applyBorder="1" applyAlignment="1">
      <alignment horizontal="center"/>
    </xf>
    <xf numFmtId="0" fontId="3" fillId="0" borderId="22" xfId="0" applyFont="1" applyBorder="1" applyAlignment="1">
      <alignment horizontal="center"/>
    </xf>
    <xf numFmtId="0" fontId="3" fillId="0" borderId="22" xfId="0" applyFont="1" applyFill="1" applyBorder="1" applyAlignment="1">
      <alignment horizontal="center"/>
    </xf>
    <xf numFmtId="0" fontId="43" fillId="0" borderId="18" xfId="0" applyFont="1" applyBorder="1" applyAlignment="1" quotePrefix="1">
      <alignment horizontal="center"/>
    </xf>
    <xf numFmtId="0" fontId="0" fillId="0" borderId="20" xfId="0" applyBorder="1" applyAlignment="1">
      <alignment/>
    </xf>
    <xf numFmtId="0" fontId="2" fillId="0" borderId="20" xfId="0" applyFont="1" applyFill="1" applyBorder="1" applyAlignment="1">
      <alignment horizontal="center"/>
    </xf>
    <xf numFmtId="0" fontId="2" fillId="0" borderId="24" xfId="0" applyFont="1" applyFill="1" applyBorder="1" applyAlignment="1">
      <alignment horizontal="center" wrapText="1"/>
    </xf>
    <xf numFmtId="0" fontId="0" fillId="0" borderId="17" xfId="0" applyBorder="1" applyAlignment="1">
      <alignment horizontal="center"/>
    </xf>
    <xf numFmtId="0" fontId="0" fillId="0" borderId="20" xfId="0" applyBorder="1" applyAlignment="1">
      <alignment wrapText="1"/>
    </xf>
    <xf numFmtId="0" fontId="2" fillId="0" borderId="18" xfId="0" applyFont="1" applyFill="1" applyBorder="1" applyAlignment="1">
      <alignment horizontal="center"/>
    </xf>
    <xf numFmtId="0" fontId="3" fillId="10" borderId="0" xfId="0" applyFont="1" applyFill="1" applyBorder="1" applyAlignment="1">
      <alignment/>
    </xf>
    <xf numFmtId="203" fontId="0" fillId="10" borderId="0" xfId="0" applyNumberFormat="1" applyFill="1" applyAlignment="1">
      <alignment horizontal="right"/>
    </xf>
    <xf numFmtId="203" fontId="2" fillId="10" borderId="26" xfId="0" applyNumberFormat="1" applyFont="1" applyFill="1" applyBorder="1" applyAlignment="1">
      <alignment horizontal="right"/>
    </xf>
    <xf numFmtId="203" fontId="2" fillId="10" borderId="22" xfId="0" applyNumberFormat="1" applyFont="1" applyFill="1" applyBorder="1" applyAlignment="1">
      <alignment horizontal="right"/>
    </xf>
    <xf numFmtId="203" fontId="0" fillId="10" borderId="4" xfId="0" applyNumberFormat="1" applyFill="1" applyBorder="1" applyAlignment="1">
      <alignment horizontal="right"/>
    </xf>
    <xf numFmtId="203" fontId="0" fillId="10" borderId="5" xfId="0" applyNumberFormat="1" applyFill="1" applyBorder="1" applyAlignment="1">
      <alignment/>
    </xf>
    <xf numFmtId="203" fontId="2" fillId="10" borderId="4" xfId="0" applyNumberFormat="1" applyFont="1" applyFill="1" applyBorder="1" applyAlignment="1">
      <alignment horizontal="right"/>
    </xf>
    <xf numFmtId="203" fontId="0" fillId="10" borderId="26" xfId="0" applyNumberFormat="1" applyFill="1" applyBorder="1" applyAlignment="1">
      <alignment horizontal="right"/>
    </xf>
    <xf numFmtId="0" fontId="3" fillId="12" borderId="0" xfId="0" applyFont="1" applyFill="1" applyBorder="1" applyAlignment="1">
      <alignment/>
    </xf>
    <xf numFmtId="203" fontId="0" fillId="12" borderId="0" xfId="0" applyNumberFormat="1" applyFill="1" applyAlignment="1">
      <alignment horizontal="right"/>
    </xf>
    <xf numFmtId="203" fontId="2" fillId="12" borderId="26" xfId="0" applyNumberFormat="1" applyFont="1" applyFill="1" applyBorder="1" applyAlignment="1">
      <alignment horizontal="right"/>
    </xf>
    <xf numFmtId="203" fontId="0" fillId="12" borderId="4" xfId="0" applyNumberFormat="1" applyFill="1" applyBorder="1" applyAlignment="1">
      <alignment horizontal="right"/>
    </xf>
    <xf numFmtId="203" fontId="0" fillId="12" borderId="5" xfId="0" applyNumberFormat="1" applyFill="1" applyBorder="1" applyAlignment="1">
      <alignment/>
    </xf>
    <xf numFmtId="203" fontId="2" fillId="12" borderId="4" xfId="0" applyNumberFormat="1" applyFont="1" applyFill="1" applyBorder="1" applyAlignment="1">
      <alignment horizontal="right"/>
    </xf>
    <xf numFmtId="203" fontId="0" fillId="12" borderId="26" xfId="0" applyNumberFormat="1" applyFill="1" applyBorder="1" applyAlignment="1">
      <alignment horizontal="right"/>
    </xf>
    <xf numFmtId="0" fontId="3" fillId="9" borderId="0" xfId="0" applyFont="1" applyFill="1" applyBorder="1" applyAlignment="1">
      <alignment/>
    </xf>
    <xf numFmtId="203" fontId="0" fillId="9" borderId="16" xfId="0" applyNumberFormat="1" applyFont="1" applyFill="1" applyBorder="1" applyAlignment="1">
      <alignment horizontal="center"/>
    </xf>
    <xf numFmtId="203" fontId="0" fillId="9" borderId="16" xfId="0" applyNumberFormat="1" applyFill="1" applyBorder="1" applyAlignment="1">
      <alignment horizontal="right"/>
    </xf>
    <xf numFmtId="203" fontId="0" fillId="9" borderId="29" xfId="0" applyNumberFormat="1" applyFill="1" applyBorder="1" applyAlignment="1">
      <alignment horizontal="right"/>
    </xf>
    <xf numFmtId="203" fontId="0" fillId="9" borderId="33" xfId="0" applyNumberFormat="1" applyFill="1" applyBorder="1" applyAlignment="1">
      <alignment horizontal="right"/>
    </xf>
    <xf numFmtId="203" fontId="0" fillId="9" borderId="34" xfId="0" applyNumberFormat="1" applyFill="1" applyBorder="1" applyAlignment="1">
      <alignment horizontal="right"/>
    </xf>
    <xf numFmtId="203" fontId="2" fillId="9" borderId="29" xfId="0" applyNumberFormat="1" applyFont="1" applyFill="1" applyBorder="1" applyAlignment="1">
      <alignment horizontal="right"/>
    </xf>
    <xf numFmtId="203" fontId="0" fillId="0" borderId="17" xfId="0" applyNumberFormat="1" applyBorder="1" applyAlignment="1">
      <alignment horizontal="right"/>
    </xf>
    <xf numFmtId="203" fontId="0" fillId="0" borderId="20" xfId="0" applyNumberFormat="1" applyBorder="1" applyAlignment="1">
      <alignment horizontal="right"/>
    </xf>
    <xf numFmtId="203" fontId="2" fillId="0" borderId="17" xfId="0" applyNumberFormat="1" applyFont="1" applyBorder="1" applyAlignment="1">
      <alignment horizontal="right"/>
    </xf>
    <xf numFmtId="203" fontId="0" fillId="0" borderId="24" xfId="0" applyNumberFormat="1" applyBorder="1" applyAlignment="1">
      <alignment horizontal="right"/>
    </xf>
    <xf numFmtId="203" fontId="3" fillId="0" borderId="24" xfId="0" applyNumberFormat="1" applyFont="1" applyBorder="1" applyAlignment="1">
      <alignment horizontal="right"/>
    </xf>
    <xf numFmtId="165" fontId="0" fillId="0" borderId="0" xfId="15" applyNumberFormat="1" applyFill="1" applyBorder="1" applyAlignment="1">
      <alignment horizontal="center"/>
    </xf>
    <xf numFmtId="0" fontId="30" fillId="0" borderId="0" xfId="0" applyFont="1" applyBorder="1" applyAlignment="1">
      <alignment horizontal="center"/>
    </xf>
    <xf numFmtId="0" fontId="18" fillId="0" borderId="0" xfId="0" applyFont="1" applyAlignment="1">
      <alignment/>
    </xf>
    <xf numFmtId="203" fontId="0" fillId="0" borderId="0" xfId="0" applyNumberFormat="1" applyFont="1" applyFill="1" applyAlignment="1">
      <alignment horizontal="center"/>
    </xf>
    <xf numFmtId="203" fontId="37" fillId="0" borderId="0" xfId="0" applyNumberFormat="1" applyFont="1" applyFill="1" applyAlignment="1">
      <alignment/>
    </xf>
    <xf numFmtId="0" fontId="37" fillId="0" borderId="0" xfId="0" applyFont="1" applyFill="1" applyAlignment="1">
      <alignment/>
    </xf>
    <xf numFmtId="0" fontId="20" fillId="9" borderId="1" xfId="0" applyFont="1" applyFill="1" applyBorder="1" applyAlignment="1">
      <alignment/>
    </xf>
    <xf numFmtId="0" fontId="20" fillId="9" borderId="2" xfId="0" applyFont="1" applyFill="1" applyBorder="1" applyAlignment="1">
      <alignment horizontal="right"/>
    </xf>
    <xf numFmtId="0" fontId="20" fillId="9" borderId="3" xfId="0" applyFont="1" applyFill="1" applyBorder="1" applyAlignment="1">
      <alignment horizontal="right"/>
    </xf>
    <xf numFmtId="0" fontId="20" fillId="9" borderId="4" xfId="0" applyFont="1" applyFill="1" applyBorder="1" applyAlignment="1">
      <alignment/>
    </xf>
    <xf numFmtId="183" fontId="20" fillId="9" borderId="0" xfId="17" applyNumberFormat="1" applyFont="1" applyFill="1" applyBorder="1" applyAlignment="1">
      <alignment/>
    </xf>
    <xf numFmtId="183" fontId="20" fillId="9" borderId="5" xfId="17" applyNumberFormat="1" applyFont="1" applyFill="1" applyBorder="1" applyAlignment="1">
      <alignment/>
    </xf>
    <xf numFmtId="0" fontId="21" fillId="9" borderId="4" xfId="0" applyFont="1" applyFill="1" applyBorder="1" applyAlignment="1">
      <alignment/>
    </xf>
    <xf numFmtId="183" fontId="21" fillId="9" borderId="0" xfId="17" applyNumberFormat="1" applyFont="1" applyFill="1" applyBorder="1" applyAlignment="1">
      <alignment/>
    </xf>
    <xf numFmtId="183" fontId="21" fillId="9" borderId="5" xfId="17" applyNumberFormat="1" applyFont="1" applyFill="1" applyBorder="1" applyAlignment="1">
      <alignment/>
    </xf>
    <xf numFmtId="0" fontId="23" fillId="9" borderId="4" xfId="0" applyFont="1" applyFill="1" applyBorder="1" applyAlignment="1">
      <alignment/>
    </xf>
    <xf numFmtId="183" fontId="23" fillId="9" borderId="0" xfId="17" applyNumberFormat="1" applyFont="1" applyFill="1" applyBorder="1" applyAlignment="1">
      <alignment/>
    </xf>
    <xf numFmtId="183" fontId="23" fillId="9" borderId="5" xfId="17" applyNumberFormat="1" applyFont="1" applyFill="1" applyBorder="1" applyAlignment="1">
      <alignment/>
    </xf>
    <xf numFmtId="0" fontId="20" fillId="9" borderId="17" xfId="0" applyFont="1" applyFill="1" applyBorder="1" applyAlignment="1">
      <alignment wrapText="1"/>
    </xf>
    <xf numFmtId="183" fontId="20" fillId="9" borderId="18" xfId="0" applyNumberFormat="1" applyFont="1" applyFill="1" applyBorder="1" applyAlignment="1">
      <alignment/>
    </xf>
    <xf numFmtId="183" fontId="20" fillId="9" borderId="20" xfId="0" applyNumberFormat="1" applyFont="1" applyFill="1" applyBorder="1" applyAlignment="1">
      <alignment/>
    </xf>
    <xf numFmtId="0" fontId="69" fillId="10" borderId="17" xfId="0" applyFont="1" applyFill="1" applyBorder="1" applyAlignment="1">
      <alignment/>
    </xf>
    <xf numFmtId="183" fontId="69" fillId="10" borderId="18" xfId="0" applyNumberFormat="1" applyFont="1" applyFill="1" applyBorder="1" applyAlignment="1">
      <alignment/>
    </xf>
    <xf numFmtId="183" fontId="69" fillId="10" borderId="20" xfId="0" applyNumberFormat="1" applyFont="1" applyFill="1" applyBorder="1" applyAlignment="1">
      <alignment/>
    </xf>
    <xf numFmtId="203" fontId="55" fillId="0" borderId="0" xfId="0" applyNumberFormat="1" applyFont="1" applyFill="1" applyBorder="1" applyAlignment="1">
      <alignment horizontal="right" vertical="top" wrapText="1"/>
    </xf>
    <xf numFmtId="207" fontId="55" fillId="0" borderId="0" xfId="0" applyNumberFormat="1" applyFont="1" applyFill="1" applyBorder="1" applyAlignment="1">
      <alignment horizontal="right" vertical="top" wrapText="1"/>
    </xf>
    <xf numFmtId="207" fontId="55" fillId="0" borderId="18" xfId="0" applyNumberFormat="1" applyFont="1" applyFill="1" applyBorder="1" applyAlignment="1">
      <alignment horizontal="right" vertical="top" wrapText="1"/>
    </xf>
    <xf numFmtId="0" fontId="71" fillId="0" borderId="0" xfId="0" applyFont="1" applyFill="1" applyAlignment="1">
      <alignment vertical="top"/>
    </xf>
    <xf numFmtId="0" fontId="71" fillId="0" borderId="0" xfId="0" applyFont="1" applyFill="1" applyAlignment="1">
      <alignment horizontal="left" vertical="top"/>
    </xf>
    <xf numFmtId="6" fontId="71" fillId="0" borderId="0" xfId="0" applyNumberFormat="1" applyFont="1" applyFill="1" applyAlignment="1">
      <alignment horizontal="left" vertical="top" wrapText="1"/>
    </xf>
    <xf numFmtId="0" fontId="71" fillId="0" borderId="0" xfId="0" applyFont="1" applyFill="1" applyBorder="1" applyAlignment="1">
      <alignment horizontal="center" vertical="top" wrapText="1"/>
    </xf>
    <xf numFmtId="0" fontId="71" fillId="0" borderId="0" xfId="0" applyFont="1" applyFill="1" applyBorder="1" applyAlignment="1">
      <alignment vertical="top" wrapText="1"/>
    </xf>
    <xf numFmtId="0" fontId="71" fillId="0" borderId="0" xfId="0" applyFont="1" applyFill="1" applyBorder="1" applyAlignment="1">
      <alignment horizontal="left" vertical="top" wrapText="1"/>
    </xf>
    <xf numFmtId="0" fontId="71" fillId="0" borderId="0" xfId="0" applyFont="1" applyFill="1" applyAlignment="1">
      <alignment horizontal="center" vertical="top"/>
    </xf>
    <xf numFmtId="0" fontId="71" fillId="0" borderId="0" xfId="0" applyFont="1" applyFill="1" applyAlignment="1">
      <alignment horizontal="left" vertical="top" wrapText="1"/>
    </xf>
    <xf numFmtId="0" fontId="30" fillId="0" borderId="0" xfId="0" applyFont="1" applyFill="1" applyAlignment="1">
      <alignment vertical="top" wrapText="1"/>
    </xf>
    <xf numFmtId="0" fontId="51" fillId="0" borderId="31" xfId="0" applyFont="1" applyFill="1" applyBorder="1" applyAlignment="1">
      <alignment horizontal="center" vertical="top"/>
    </xf>
    <xf numFmtId="0" fontId="51" fillId="0" borderId="0" xfId="0" applyFont="1" applyFill="1" applyAlignment="1">
      <alignment horizontal="center" vertical="top"/>
    </xf>
    <xf numFmtId="0" fontId="51" fillId="0" borderId="0" xfId="0" applyFont="1" applyFill="1" applyBorder="1" applyAlignment="1">
      <alignment horizontal="centerContinuous" vertical="top"/>
    </xf>
    <xf numFmtId="0" fontId="11" fillId="0" borderId="0" xfId="0" applyFont="1" applyFill="1" applyAlignment="1">
      <alignment horizontal="center" vertical="top"/>
    </xf>
    <xf numFmtId="0" fontId="11" fillId="0" borderId="0" xfId="0" applyFont="1" applyFill="1" applyAlignment="1">
      <alignment vertical="top"/>
    </xf>
    <xf numFmtId="0" fontId="19" fillId="0" borderId="0" xfId="0" applyFont="1" applyFill="1" applyAlignment="1">
      <alignment vertical="top" wrapText="1"/>
    </xf>
    <xf numFmtId="6" fontId="52" fillId="0" borderId="0" xfId="0" applyNumberFormat="1" applyFont="1" applyFill="1" applyAlignment="1">
      <alignment horizontal="center" vertical="top" wrapText="1"/>
    </xf>
    <xf numFmtId="6" fontId="52" fillId="0" borderId="0" xfId="0" applyNumberFormat="1" applyFont="1" applyFill="1" applyAlignment="1">
      <alignment vertical="top" wrapText="1"/>
    </xf>
    <xf numFmtId="0" fontId="0" fillId="0" borderId="0" xfId="0" applyFill="1" applyAlignment="1">
      <alignment vertical="top" wrapText="1"/>
    </xf>
    <xf numFmtId="0" fontId="52" fillId="0" borderId="0" xfId="0" applyFont="1" applyFill="1" applyAlignment="1">
      <alignment vertical="top" wrapText="1"/>
    </xf>
    <xf numFmtId="0" fontId="19" fillId="0" borderId="0" xfId="0" applyFont="1" applyFill="1" applyAlignment="1">
      <alignment horizontal="center" vertical="top" wrapText="1"/>
    </xf>
    <xf numFmtId="6" fontId="53" fillId="0" borderId="0" xfId="0" applyNumberFormat="1" applyFont="1" applyFill="1" applyAlignment="1">
      <alignment horizontal="center" vertical="top" wrapText="1"/>
    </xf>
    <xf numFmtId="0" fontId="2" fillId="0" borderId="0" xfId="0" applyFont="1" applyFill="1" applyAlignment="1">
      <alignment vertical="top" wrapText="1"/>
    </xf>
    <xf numFmtId="0" fontId="19" fillId="0" borderId="0" xfId="0" applyFont="1" applyFill="1" applyBorder="1" applyAlignment="1">
      <alignment horizontal="center" vertical="top" wrapText="1"/>
    </xf>
    <xf numFmtId="6" fontId="53" fillId="0" borderId="18" xfId="0" applyNumberFormat="1" applyFont="1" applyFill="1" applyBorder="1" applyAlignment="1">
      <alignment horizontal="center" vertical="top" wrapText="1"/>
    </xf>
    <xf numFmtId="203" fontId="52" fillId="0" borderId="0" xfId="0" applyNumberFormat="1" applyFont="1" applyFill="1" applyBorder="1" applyAlignment="1">
      <alignment horizontal="center" vertical="top" wrapText="1"/>
    </xf>
    <xf numFmtId="6" fontId="54" fillId="0" borderId="0" xfId="0" applyNumberFormat="1" applyFont="1" applyFill="1" applyBorder="1" applyAlignment="1">
      <alignment horizontal="center" vertical="top" wrapText="1"/>
    </xf>
    <xf numFmtId="0" fontId="0" fillId="0" borderId="0" xfId="0" applyFill="1" applyBorder="1" applyAlignment="1">
      <alignment horizontal="center"/>
    </xf>
    <xf numFmtId="0" fontId="47" fillId="0" borderId="0" xfId="0" applyFont="1" applyFill="1" applyAlignment="1">
      <alignment vertical="top" wrapText="1"/>
    </xf>
    <xf numFmtId="203" fontId="47" fillId="0" borderId="0" xfId="0" applyNumberFormat="1" applyFont="1" applyFill="1" applyBorder="1" applyAlignment="1">
      <alignment horizontal="center" vertical="top"/>
    </xf>
    <xf numFmtId="0" fontId="18" fillId="0" borderId="0" xfId="0" applyFont="1" applyFill="1" applyBorder="1" applyAlignment="1">
      <alignment horizontal="center" vertical="top"/>
    </xf>
    <xf numFmtId="6" fontId="48" fillId="0" borderId="0" xfId="0" applyNumberFormat="1" applyFont="1" applyFill="1" applyBorder="1" applyAlignment="1">
      <alignment horizontal="center" vertical="top" wrapText="1"/>
    </xf>
    <xf numFmtId="0" fontId="18" fillId="0" borderId="0" xfId="0" applyFont="1" applyFill="1" applyAlignment="1">
      <alignment horizontal="center" vertical="top"/>
    </xf>
    <xf numFmtId="0" fontId="18" fillId="0" borderId="0" xfId="0" applyFont="1" applyFill="1" applyBorder="1" applyAlignment="1">
      <alignment vertical="top" wrapText="1"/>
    </xf>
    <xf numFmtId="6" fontId="47" fillId="0" borderId="0" xfId="0" applyNumberFormat="1" applyFont="1" applyFill="1" applyBorder="1" applyAlignment="1">
      <alignment vertical="top" wrapText="1"/>
    </xf>
    <xf numFmtId="0" fontId="10" fillId="0" borderId="0" xfId="0" applyFont="1" applyFill="1" applyBorder="1" applyAlignment="1">
      <alignment vertical="top" wrapText="1"/>
    </xf>
    <xf numFmtId="6" fontId="11" fillId="0" borderId="0" xfId="0" applyNumberFormat="1" applyFont="1" applyFill="1" applyBorder="1" applyAlignment="1">
      <alignment horizontal="center" vertical="top" wrapText="1"/>
    </xf>
    <xf numFmtId="6" fontId="12" fillId="0" borderId="0" xfId="0" applyNumberFormat="1" applyFont="1" applyFill="1" applyBorder="1" applyAlignment="1">
      <alignment horizontal="center" vertical="top" wrapText="1"/>
    </xf>
    <xf numFmtId="6" fontId="49" fillId="0" borderId="0" xfId="0" applyNumberFormat="1" applyFont="1" applyFill="1" applyBorder="1" applyAlignment="1">
      <alignment horizontal="center" vertical="top" wrapText="1"/>
    </xf>
    <xf numFmtId="0" fontId="11" fillId="0" borderId="0" xfId="0" applyFont="1" applyFill="1" applyBorder="1" applyAlignment="1">
      <alignment vertical="top" wrapText="1"/>
    </xf>
    <xf numFmtId="203" fontId="54" fillId="0" borderId="0" xfId="0" applyNumberFormat="1" applyFont="1" applyFill="1" applyAlignment="1">
      <alignment horizontal="center" vertical="top" wrapText="1"/>
    </xf>
    <xf numFmtId="203" fontId="54" fillId="0" borderId="18" xfId="0" applyNumberFormat="1" applyFont="1" applyFill="1" applyBorder="1" applyAlignment="1">
      <alignment horizontal="center" vertical="top" wrapText="1"/>
    </xf>
    <xf numFmtId="6" fontId="54" fillId="0" borderId="0" xfId="0" applyNumberFormat="1" applyFont="1" applyFill="1" applyAlignment="1">
      <alignment horizontal="center" vertical="top"/>
    </xf>
    <xf numFmtId="6" fontId="53" fillId="0" borderId="0" xfId="0" applyNumberFormat="1" applyFont="1" applyFill="1" applyAlignment="1">
      <alignment horizontal="center" vertical="top"/>
    </xf>
    <xf numFmtId="194" fontId="39" fillId="0" borderId="5" xfId="0" applyNumberFormat="1" applyFont="1" applyFill="1" applyBorder="1" applyAlignment="1" applyProtection="1">
      <alignment horizontal="center"/>
      <protection/>
    </xf>
    <xf numFmtId="194" fontId="39" fillId="0" borderId="2" xfId="0" applyNumberFormat="1" applyFont="1" applyFill="1" applyBorder="1" applyAlignment="1" applyProtection="1">
      <alignment horizontal="center"/>
      <protection/>
    </xf>
    <xf numFmtId="194" fontId="39" fillId="0" borderId="3" xfId="0" applyNumberFormat="1" applyFont="1" applyFill="1" applyBorder="1" applyAlignment="1" applyProtection="1">
      <alignment horizontal="center"/>
      <protection/>
    </xf>
    <xf numFmtId="194" fontId="39" fillId="0" borderId="0" xfId="0" applyNumberFormat="1" applyFont="1" applyFill="1" applyBorder="1" applyAlignment="1" applyProtection="1">
      <alignment horizontal="center"/>
      <protection/>
    </xf>
    <xf numFmtId="194" fontId="39" fillId="0" borderId="0" xfId="0" applyNumberFormat="1" applyFont="1" applyFill="1" applyBorder="1" applyAlignment="1">
      <alignment horizontal="center"/>
    </xf>
    <xf numFmtId="0" fontId="39" fillId="0" borderId="0" xfId="0" applyNumberFormat="1" applyFont="1" applyFill="1" applyAlignment="1">
      <alignment wrapText="1"/>
    </xf>
    <xf numFmtId="0" fontId="35" fillId="3" borderId="0" xfId="0" applyFont="1" applyFill="1" applyBorder="1" applyAlignment="1">
      <alignment horizontal="centerContinuous" wrapText="1"/>
    </xf>
    <xf numFmtId="0" fontId="0" fillId="3" borderId="0" xfId="0" applyFill="1" applyBorder="1" applyAlignment="1">
      <alignment/>
    </xf>
    <xf numFmtId="9" fontId="20" fillId="3" borderId="0" xfId="21" applyFont="1" applyFill="1" applyBorder="1" applyAlignment="1">
      <alignment horizontal="center"/>
    </xf>
    <xf numFmtId="0" fontId="19" fillId="3" borderId="2" xfId="0" applyFont="1" applyFill="1" applyBorder="1" applyAlignment="1">
      <alignment horizontal="centerContinuous"/>
    </xf>
    <xf numFmtId="0" fontId="19" fillId="3" borderId="3" xfId="0" applyFont="1" applyFill="1" applyBorder="1" applyAlignment="1">
      <alignment horizontal="centerContinuous"/>
    </xf>
    <xf numFmtId="0" fontId="19" fillId="3" borderId="0" xfId="0" applyFont="1" applyFill="1" applyBorder="1" applyAlignment="1">
      <alignment horizontal="center"/>
    </xf>
    <xf numFmtId="0" fontId="19" fillId="3" borderId="5" xfId="0" applyFont="1" applyFill="1" applyBorder="1" applyAlignment="1">
      <alignment horizontal="center"/>
    </xf>
    <xf numFmtId="9" fontId="19" fillId="3" borderId="18" xfId="21" applyFont="1" applyFill="1" applyBorder="1" applyAlignment="1">
      <alignment horizontal="center" wrapText="1"/>
    </xf>
    <xf numFmtId="9" fontId="19" fillId="3" borderId="20" xfId="21" applyFont="1" applyFill="1" applyBorder="1" applyAlignment="1">
      <alignment horizontal="center" wrapText="1"/>
    </xf>
    <xf numFmtId="0" fontId="19" fillId="3" borderId="16" xfId="0" applyFont="1" applyFill="1" applyBorder="1" applyAlignment="1">
      <alignment/>
    </xf>
    <xf numFmtId="1" fontId="19" fillId="3" borderId="0" xfId="15" applyNumberFormat="1" applyFont="1" applyFill="1" applyAlignment="1">
      <alignment/>
    </xf>
    <xf numFmtId="1" fontId="18" fillId="3" borderId="0" xfId="15" applyNumberFormat="1" applyFont="1" applyFill="1" applyAlignment="1">
      <alignment/>
    </xf>
    <xf numFmtId="164" fontId="18" fillId="3" borderId="0" xfId="15" applyNumberFormat="1" applyFont="1" applyFill="1" applyAlignment="1">
      <alignment/>
    </xf>
    <xf numFmtId="165" fontId="54" fillId="3" borderId="0" xfId="15" applyNumberFormat="1" applyFont="1" applyFill="1" applyAlignment="1">
      <alignment/>
    </xf>
    <xf numFmtId="0" fontId="18" fillId="3" borderId="0" xfId="0" applyFont="1" applyFill="1" applyAlignment="1">
      <alignment/>
    </xf>
    <xf numFmtId="0" fontId="40" fillId="3" borderId="2" xfId="0" applyFont="1" applyFill="1" applyBorder="1" applyAlignment="1">
      <alignment horizontal="centerContinuous"/>
    </xf>
    <xf numFmtId="9" fontId="18" fillId="3" borderId="0" xfId="21" applyFont="1" applyFill="1" applyAlignment="1">
      <alignment/>
    </xf>
    <xf numFmtId="10" fontId="18" fillId="3" borderId="13" xfId="21" applyNumberFormat="1" applyFont="1" applyFill="1" applyBorder="1" applyAlignment="1">
      <alignment/>
    </xf>
    <xf numFmtId="1" fontId="18" fillId="3" borderId="16" xfId="0" applyNumberFormat="1" applyFont="1" applyFill="1" applyBorder="1" applyAlignment="1">
      <alignment/>
    </xf>
    <xf numFmtId="1" fontId="18" fillId="3" borderId="0" xfId="0" applyNumberFormat="1" applyFont="1" applyFill="1" applyBorder="1" applyAlignment="1">
      <alignment/>
    </xf>
    <xf numFmtId="0" fontId="18" fillId="3" borderId="0" xfId="0" applyFont="1" applyFill="1" applyBorder="1" applyAlignment="1">
      <alignment/>
    </xf>
    <xf numFmtId="165" fontId="37" fillId="3" borderId="0" xfId="15" applyNumberFormat="1" applyFont="1" applyFill="1" applyBorder="1" applyAlignment="1">
      <alignment/>
    </xf>
    <xf numFmtId="9" fontId="18" fillId="3" borderId="0" xfId="21" applyFont="1" applyFill="1" applyBorder="1" applyAlignment="1">
      <alignment/>
    </xf>
    <xf numFmtId="0" fontId="0" fillId="0" borderId="35" xfId="0" applyBorder="1" applyAlignment="1">
      <alignment/>
    </xf>
    <xf numFmtId="0" fontId="0" fillId="0" borderId="21" xfId="0" applyBorder="1" applyAlignment="1">
      <alignment/>
    </xf>
    <xf numFmtId="0" fontId="0" fillId="0" borderId="11" xfId="0" applyBorder="1" applyAlignment="1">
      <alignment/>
    </xf>
    <xf numFmtId="0" fontId="0" fillId="0" borderId="12" xfId="0" applyBorder="1" applyAlignment="1">
      <alignment/>
    </xf>
    <xf numFmtId="9" fontId="0" fillId="0" borderId="11" xfId="21" applyBorder="1" applyAlignment="1">
      <alignment/>
    </xf>
    <xf numFmtId="9" fontId="0" fillId="0" borderId="12" xfId="21" applyBorder="1" applyAlignment="1">
      <alignment/>
    </xf>
    <xf numFmtId="0" fontId="0" fillId="0" borderId="1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9" fontId="0" fillId="0" borderId="38" xfId="21" applyBorder="1" applyAlignment="1">
      <alignment/>
    </xf>
    <xf numFmtId="0" fontId="0" fillId="0" borderId="39" xfId="0" applyBorder="1" applyAlignment="1">
      <alignment/>
    </xf>
    <xf numFmtId="9" fontId="10" fillId="0" borderId="11" xfId="21" applyFont="1" applyBorder="1" applyAlignment="1">
      <alignment/>
    </xf>
    <xf numFmtId="164" fontId="18" fillId="7" borderId="0" xfId="15" applyNumberFormat="1" applyFont="1" applyFill="1" applyBorder="1" applyAlignment="1" applyProtection="1">
      <alignment horizontal="left"/>
      <protection/>
    </xf>
    <xf numFmtId="194" fontId="39" fillId="7" borderId="0" xfId="0" applyNumberFormat="1" applyFont="1" applyFill="1" applyBorder="1" applyAlignment="1" applyProtection="1">
      <alignment horizontal="center"/>
      <protection/>
    </xf>
    <xf numFmtId="194" fontId="39" fillId="7" borderId="5" xfId="0" applyNumberFormat="1" applyFont="1" applyFill="1" applyBorder="1" applyAlignment="1" applyProtection="1">
      <alignment horizontal="center"/>
      <protection/>
    </xf>
    <xf numFmtId="0" fontId="40" fillId="0" borderId="0" xfId="0" applyFont="1" applyFill="1" applyAlignment="1" applyProtection="1">
      <alignment horizontal="left" wrapText="1"/>
      <protection/>
    </xf>
    <xf numFmtId="0" fontId="40" fillId="0" borderId="0" xfId="0" applyFont="1" applyFill="1" applyAlignment="1" applyProtection="1">
      <alignment horizontal="center" wrapText="1"/>
      <protection/>
    </xf>
    <xf numFmtId="0" fontId="40" fillId="0" borderId="31" xfId="0" applyFont="1" applyFill="1" applyBorder="1" applyAlignment="1" applyProtection="1">
      <alignment horizontal="center" wrapText="1"/>
      <protection/>
    </xf>
    <xf numFmtId="194" fontId="41" fillId="0" borderId="31" xfId="0" applyNumberFormat="1" applyFont="1" applyFill="1" applyBorder="1" applyAlignment="1" applyProtection="1">
      <alignment horizontal="center" wrapText="1"/>
      <protection/>
    </xf>
    <xf numFmtId="0" fontId="41" fillId="0" borderId="31" xfId="0" applyFont="1" applyFill="1" applyBorder="1" applyAlignment="1" applyProtection="1">
      <alignment horizontal="center" wrapText="1"/>
      <protection/>
    </xf>
    <xf numFmtId="0" fontId="40" fillId="0" borderId="0" xfId="0" applyFont="1" applyFill="1" applyAlignment="1">
      <alignment wrapText="1"/>
    </xf>
    <xf numFmtId="0" fontId="40" fillId="0" borderId="0" xfId="0" applyFont="1" applyFill="1" applyBorder="1" applyAlignment="1" applyProtection="1">
      <alignment horizontal="left" wrapText="1"/>
      <protection/>
    </xf>
    <xf numFmtId="0" fontId="40" fillId="0" borderId="0" xfId="0" applyFont="1" applyFill="1" applyBorder="1" applyAlignment="1" applyProtection="1">
      <alignment horizontal="center" wrapText="1"/>
      <protection/>
    </xf>
    <xf numFmtId="0" fontId="19" fillId="0" borderId="0" xfId="0" applyFont="1" applyFill="1" applyAlignment="1">
      <alignment/>
    </xf>
    <xf numFmtId="0" fontId="36" fillId="0" borderId="4" xfId="0" applyFont="1" applyFill="1" applyBorder="1" applyAlignment="1" applyProtection="1">
      <alignment horizontal="left"/>
      <protection/>
    </xf>
    <xf numFmtId="0" fontId="81" fillId="3" borderId="0" xfId="0" applyFont="1" applyFill="1" applyBorder="1" applyAlignment="1">
      <alignment horizontal="centerContinuous" wrapText="1"/>
    </xf>
    <xf numFmtId="0" fontId="82" fillId="3" borderId="0" xfId="0" applyFont="1" applyFill="1" applyBorder="1" applyAlignment="1">
      <alignment horizontal="centerContinuous"/>
    </xf>
    <xf numFmtId="0" fontId="83" fillId="3" borderId="0" xfId="0" applyFont="1" applyFill="1" applyBorder="1" applyAlignment="1">
      <alignment horizontal="centerContinuous" wrapText="1"/>
    </xf>
    <xf numFmtId="0" fontId="0" fillId="3" borderId="0" xfId="0" applyFill="1" applyBorder="1" applyAlignment="1">
      <alignment wrapText="1"/>
    </xf>
    <xf numFmtId="182" fontId="0" fillId="3" borderId="0" xfId="17" applyNumberFormat="1" applyFill="1" applyAlignment="1">
      <alignment/>
    </xf>
    <xf numFmtId="0" fontId="20" fillId="3" borderId="0" xfId="0" applyFont="1" applyFill="1" applyBorder="1" applyAlignment="1">
      <alignment/>
    </xf>
    <xf numFmtId="0" fontId="35" fillId="3" borderId="0" xfId="0" applyFont="1" applyFill="1" applyBorder="1" applyAlignment="1">
      <alignment horizontal="center" wrapText="1"/>
    </xf>
    <xf numFmtId="0" fontId="35" fillId="3" borderId="40" xfId="0" applyFont="1" applyFill="1" applyBorder="1" applyAlignment="1">
      <alignment horizontal="centerContinuous" wrapText="1"/>
    </xf>
    <xf numFmtId="0" fontId="20" fillId="3" borderId="41" xfId="0" applyFont="1" applyFill="1" applyBorder="1" applyAlignment="1" quotePrefix="1">
      <alignment horizontal="centerContinuous" wrapText="1"/>
    </xf>
    <xf numFmtId="0" fontId="20" fillId="3" borderId="0" xfId="0" applyFont="1" applyFill="1" applyBorder="1" applyAlignment="1">
      <alignment horizontal="centerContinuous" wrapText="1"/>
    </xf>
    <xf numFmtId="0" fontId="35" fillId="3" borderId="0" xfId="0" applyFont="1" applyFill="1" applyBorder="1" applyAlignment="1">
      <alignment/>
    </xf>
    <xf numFmtId="0" fontId="20" fillId="3" borderId="0" xfId="0" applyFont="1" applyFill="1" applyBorder="1" applyAlignment="1">
      <alignment horizontal="center"/>
    </xf>
    <xf numFmtId="0" fontId="20" fillId="3" borderId="4" xfId="0" applyFont="1" applyFill="1" applyBorder="1" applyAlignment="1">
      <alignment horizontal="center"/>
    </xf>
    <xf numFmtId="0" fontId="23" fillId="3" borderId="5" xfId="0" applyFont="1" applyFill="1" applyBorder="1" applyAlignment="1">
      <alignment horizontal="center"/>
    </xf>
    <xf numFmtId="0" fontId="23" fillId="3" borderId="0" xfId="0" applyFont="1" applyFill="1" applyBorder="1" applyAlignment="1">
      <alignment horizontal="center"/>
    </xf>
    <xf numFmtId="0" fontId="27" fillId="3" borderId="0" xfId="0" applyFont="1" applyFill="1" applyBorder="1" applyAlignment="1">
      <alignment/>
    </xf>
    <xf numFmtId="203" fontId="27" fillId="3" borderId="0" xfId="0" applyNumberFormat="1" applyFont="1" applyFill="1" applyBorder="1" applyAlignment="1">
      <alignment horizontal="center"/>
    </xf>
    <xf numFmtId="203" fontId="27" fillId="3" borderId="4" xfId="0" applyNumberFormat="1" applyFont="1" applyFill="1" applyBorder="1" applyAlignment="1">
      <alignment horizontal="center"/>
    </xf>
    <xf numFmtId="9" fontId="72" fillId="3" borderId="5" xfId="21" applyFont="1" applyFill="1" applyBorder="1" applyAlignment="1">
      <alignment horizontal="center"/>
    </xf>
    <xf numFmtId="9" fontId="72" fillId="3" borderId="0" xfId="21" applyFont="1" applyFill="1" applyBorder="1" applyAlignment="1">
      <alignment horizontal="center"/>
    </xf>
    <xf numFmtId="203" fontId="20" fillId="3" borderId="4" xfId="0" applyNumberFormat="1" applyFont="1" applyFill="1" applyBorder="1" applyAlignment="1">
      <alignment/>
    </xf>
    <xf numFmtId="9" fontId="0" fillId="3" borderId="0" xfId="21" applyFill="1" applyBorder="1" applyAlignment="1">
      <alignment/>
    </xf>
    <xf numFmtId="203" fontId="28" fillId="3" borderId="0" xfId="0" applyNumberFormat="1" applyFont="1" applyFill="1" applyBorder="1" applyAlignment="1">
      <alignment horizontal="center"/>
    </xf>
    <xf numFmtId="203" fontId="28" fillId="3" borderId="4" xfId="0" applyNumberFormat="1" applyFont="1" applyFill="1" applyBorder="1" applyAlignment="1">
      <alignment horizontal="center"/>
    </xf>
    <xf numFmtId="9" fontId="73" fillId="3" borderId="5" xfId="21" applyFont="1" applyFill="1" applyBorder="1" applyAlignment="1">
      <alignment horizontal="center"/>
    </xf>
    <xf numFmtId="9" fontId="73" fillId="3" borderId="0" xfId="21" applyFont="1" applyFill="1" applyBorder="1" applyAlignment="1">
      <alignment horizontal="center"/>
    </xf>
    <xf numFmtId="203" fontId="35" fillId="3" borderId="4" xfId="0" applyNumberFormat="1" applyFont="1" applyFill="1" applyBorder="1" applyAlignment="1">
      <alignment/>
    </xf>
    <xf numFmtId="203" fontId="20" fillId="3" borderId="0" xfId="0" applyNumberFormat="1" applyFont="1" applyFill="1" applyBorder="1" applyAlignment="1">
      <alignment horizontal="center"/>
    </xf>
    <xf numFmtId="203" fontId="20" fillId="3" borderId="4" xfId="0" applyNumberFormat="1" applyFont="1" applyFill="1" applyBorder="1" applyAlignment="1">
      <alignment horizontal="center"/>
    </xf>
    <xf numFmtId="9" fontId="23" fillId="3" borderId="5" xfId="21" applyFont="1" applyFill="1" applyBorder="1" applyAlignment="1">
      <alignment horizontal="center"/>
    </xf>
    <xf numFmtId="9" fontId="23" fillId="3" borderId="0" xfId="21" applyFont="1" applyFill="1" applyBorder="1" applyAlignment="1">
      <alignment horizontal="center"/>
    </xf>
    <xf numFmtId="203" fontId="20" fillId="3" borderId="27" xfId="0" applyNumberFormat="1" applyFont="1" applyFill="1" applyBorder="1" applyAlignment="1">
      <alignment horizontal="center"/>
    </xf>
    <xf numFmtId="203" fontId="20" fillId="3" borderId="17" xfId="0" applyNumberFormat="1" applyFont="1" applyFill="1" applyBorder="1" applyAlignment="1">
      <alignment horizontal="center"/>
    </xf>
    <xf numFmtId="9" fontId="23" fillId="3" borderId="20" xfId="21" applyFont="1" applyFill="1" applyBorder="1" applyAlignment="1">
      <alignment horizontal="center"/>
    </xf>
    <xf numFmtId="203" fontId="20" fillId="3" borderId="17" xfId="0" applyNumberFormat="1" applyFont="1" applyFill="1" applyBorder="1" applyAlignment="1">
      <alignment/>
    </xf>
    <xf numFmtId="9" fontId="23" fillId="3" borderId="20" xfId="21" applyNumberFormat="1" applyFont="1" applyFill="1" applyBorder="1" applyAlignment="1">
      <alignment horizontal="center"/>
    </xf>
    <xf numFmtId="203" fontId="20" fillId="3" borderId="32" xfId="0" applyNumberFormat="1" applyFont="1" applyFill="1" applyBorder="1" applyAlignment="1">
      <alignment horizontal="center"/>
    </xf>
    <xf numFmtId="166" fontId="23" fillId="3" borderId="42" xfId="21" applyNumberFormat="1" applyFont="1" applyFill="1" applyBorder="1" applyAlignment="1">
      <alignment horizontal="center"/>
    </xf>
    <xf numFmtId="166" fontId="23" fillId="3" borderId="0" xfId="21" applyNumberFormat="1" applyFont="1" applyFill="1" applyBorder="1" applyAlignment="1">
      <alignment horizontal="center"/>
    </xf>
    <xf numFmtId="203" fontId="20" fillId="3" borderId="32" xfId="0" applyNumberFormat="1" applyFont="1" applyFill="1" applyBorder="1" applyAlignment="1">
      <alignment/>
    </xf>
    <xf numFmtId="9" fontId="23" fillId="3" borderId="42" xfId="21" applyNumberFormat="1" applyFont="1" applyFill="1" applyBorder="1" applyAlignment="1">
      <alignment horizontal="center"/>
    </xf>
    <xf numFmtId="0" fontId="20" fillId="3" borderId="0" xfId="0" applyFont="1" applyFill="1" applyBorder="1" applyAlignment="1">
      <alignment horizontal="right"/>
    </xf>
    <xf numFmtId="165" fontId="17" fillId="3" borderId="0" xfId="15" applyNumberFormat="1" applyFont="1" applyFill="1" applyBorder="1" applyAlignment="1">
      <alignment/>
    </xf>
    <xf numFmtId="9" fontId="20" fillId="3" borderId="0" xfId="21" applyFont="1" applyFill="1" applyBorder="1" applyAlignment="1">
      <alignment/>
    </xf>
    <xf numFmtId="165" fontId="17" fillId="3" borderId="27" xfId="15" applyNumberFormat="1" applyFont="1" applyFill="1" applyBorder="1" applyAlignment="1">
      <alignment/>
    </xf>
    <xf numFmtId="0" fontId="0" fillId="3" borderId="0" xfId="0" applyFill="1" applyAlignment="1">
      <alignment horizontal="center"/>
    </xf>
    <xf numFmtId="165" fontId="13" fillId="3" borderId="0" xfId="15" applyNumberFormat="1" applyFont="1" applyFill="1" applyBorder="1" applyAlignment="1">
      <alignment/>
    </xf>
    <xf numFmtId="165" fontId="0" fillId="3" borderId="0" xfId="15" applyNumberFormat="1" applyFill="1" applyBorder="1" applyAlignment="1">
      <alignment/>
    </xf>
    <xf numFmtId="0" fontId="14" fillId="3" borderId="1" xfId="0" applyFont="1" applyFill="1" applyBorder="1" applyAlignment="1">
      <alignment/>
    </xf>
    <xf numFmtId="165" fontId="14" fillId="3" borderId="2" xfId="0" applyNumberFormat="1" applyFont="1" applyFill="1" applyBorder="1" applyAlignment="1">
      <alignment horizontal="center"/>
    </xf>
    <xf numFmtId="0" fontId="14" fillId="3" borderId="4" xfId="0" applyFont="1" applyFill="1" applyBorder="1" applyAlignment="1">
      <alignment/>
    </xf>
    <xf numFmtId="0" fontId="14" fillId="3" borderId="0" xfId="0" applyFont="1" applyFill="1" applyBorder="1" applyAlignment="1">
      <alignment horizontal="center"/>
    </xf>
    <xf numFmtId="165" fontId="14" fillId="3" borderId="0" xfId="0" applyNumberFormat="1" applyFont="1" applyFill="1" applyBorder="1" applyAlignment="1">
      <alignment horizontal="center"/>
    </xf>
    <xf numFmtId="165" fontId="15" fillId="3" borderId="0" xfId="0" applyNumberFormat="1" applyFont="1" applyFill="1" applyBorder="1" applyAlignment="1">
      <alignment horizontal="center"/>
    </xf>
    <xf numFmtId="0" fontId="14" fillId="3" borderId="17" xfId="0" applyFont="1" applyFill="1" applyBorder="1" applyAlignment="1">
      <alignment/>
    </xf>
    <xf numFmtId="165" fontId="14" fillId="3" borderId="18" xfId="0" applyNumberFormat="1" applyFont="1" applyFill="1" applyBorder="1" applyAlignment="1">
      <alignment horizontal="center"/>
    </xf>
    <xf numFmtId="165" fontId="0" fillId="3" borderId="0" xfId="0" applyNumberFormat="1" applyFill="1" applyAlignment="1">
      <alignment horizontal="center"/>
    </xf>
    <xf numFmtId="165" fontId="17" fillId="3" borderId="0" xfId="0" applyNumberFormat="1" applyFont="1" applyFill="1" applyAlignment="1">
      <alignment/>
    </xf>
    <xf numFmtId="165" fontId="17" fillId="3" borderId="0" xfId="0" applyNumberFormat="1" applyFont="1" applyFill="1" applyBorder="1" applyAlignment="1">
      <alignment/>
    </xf>
    <xf numFmtId="0" fontId="0" fillId="3" borderId="0" xfId="0" applyFont="1" applyFill="1" applyBorder="1" applyAlignment="1">
      <alignment/>
    </xf>
    <xf numFmtId="0" fontId="0" fillId="3" borderId="0" xfId="0" applyFill="1" applyAlignment="1">
      <alignment wrapText="1"/>
    </xf>
    <xf numFmtId="0" fontId="2" fillId="3" borderId="18" xfId="0" applyFont="1" applyFill="1" applyBorder="1" applyAlignment="1">
      <alignment horizontal="center" wrapText="1"/>
    </xf>
    <xf numFmtId="0" fontId="2" fillId="3" borderId="0" xfId="0" applyFont="1" applyFill="1" applyAlignment="1">
      <alignment horizontal="center" wrapText="1"/>
    </xf>
    <xf numFmtId="0" fontId="2" fillId="3" borderId="0" xfId="0" applyFont="1" applyFill="1" applyBorder="1" applyAlignment="1">
      <alignment horizontal="center" wrapText="1"/>
    </xf>
    <xf numFmtId="0" fontId="0" fillId="3" borderId="0" xfId="0" applyFont="1" applyFill="1" applyAlignment="1">
      <alignment/>
    </xf>
    <xf numFmtId="165" fontId="0" fillId="3" borderId="0" xfId="0" applyNumberFormat="1" applyFill="1" applyAlignment="1">
      <alignment/>
    </xf>
    <xf numFmtId="1" fontId="0" fillId="3" borderId="0" xfId="0" applyNumberFormat="1" applyFill="1" applyAlignment="1">
      <alignment horizontal="center"/>
    </xf>
    <xf numFmtId="43" fontId="0" fillId="3" borderId="0" xfId="0" applyNumberFormat="1" applyFill="1" applyAlignment="1">
      <alignment/>
    </xf>
    <xf numFmtId="1" fontId="0" fillId="3" borderId="0" xfId="0" applyNumberFormat="1" applyFill="1" applyAlignment="1">
      <alignment horizontal="right"/>
    </xf>
    <xf numFmtId="165" fontId="0" fillId="3" borderId="16" xfId="0" applyNumberFormat="1" applyFill="1" applyBorder="1" applyAlignment="1">
      <alignment/>
    </xf>
    <xf numFmtId="165" fontId="1" fillId="3" borderId="0" xfId="0" applyNumberFormat="1" applyFont="1" applyFill="1" applyAlignment="1">
      <alignment/>
    </xf>
    <xf numFmtId="165" fontId="0" fillId="3" borderId="16" xfId="0" applyNumberFormat="1" applyFont="1" applyFill="1" applyBorder="1" applyAlignment="1">
      <alignment/>
    </xf>
    <xf numFmtId="1" fontId="0" fillId="3" borderId="16" xfId="0" applyNumberFormat="1" applyFont="1" applyFill="1" applyBorder="1" applyAlignment="1">
      <alignment horizontal="center"/>
    </xf>
    <xf numFmtId="0" fontId="2" fillId="3" borderId="0" xfId="0" applyFont="1" applyFill="1" applyAlignment="1">
      <alignment/>
    </xf>
    <xf numFmtId="165" fontId="1" fillId="3" borderId="18" xfId="0" applyNumberFormat="1" applyFont="1" applyFill="1" applyBorder="1" applyAlignment="1">
      <alignment/>
    </xf>
    <xf numFmtId="1" fontId="1" fillId="3" borderId="18" xfId="0" applyNumberFormat="1" applyFont="1" applyFill="1" applyBorder="1" applyAlignment="1">
      <alignment horizontal="center"/>
    </xf>
    <xf numFmtId="165" fontId="0" fillId="3" borderId="18" xfId="0" applyNumberFormat="1" applyFill="1" applyBorder="1" applyAlignment="1">
      <alignment/>
    </xf>
    <xf numFmtId="166" fontId="1" fillId="3" borderId="0" xfId="21" applyNumberFormat="1" applyFont="1" applyFill="1" applyAlignment="1">
      <alignment/>
    </xf>
    <xf numFmtId="1" fontId="1" fillId="3" borderId="0" xfId="21" applyNumberFormat="1" applyFont="1" applyFill="1" applyAlignment="1">
      <alignment horizontal="center"/>
    </xf>
    <xf numFmtId="165" fontId="1" fillId="3" borderId="0" xfId="0" applyNumberFormat="1" applyFont="1" applyFill="1" applyAlignment="1">
      <alignment/>
    </xf>
    <xf numFmtId="166" fontId="0" fillId="3" borderId="0" xfId="21" applyNumberFormat="1" applyFill="1" applyAlignment="1">
      <alignment horizontal="left"/>
    </xf>
    <xf numFmtId="165" fontId="0" fillId="3" borderId="0" xfId="0" applyNumberFormat="1" applyFill="1" applyAlignment="1">
      <alignment/>
    </xf>
    <xf numFmtId="165" fontId="2" fillId="3" borderId="0" xfId="15" applyNumberFormat="1" applyFont="1" applyFill="1" applyAlignment="1">
      <alignment/>
    </xf>
    <xf numFmtId="0" fontId="0" fillId="3" borderId="0" xfId="0" applyFill="1" applyAlignment="1">
      <alignment/>
    </xf>
    <xf numFmtId="0" fontId="6" fillId="3" borderId="0" xfId="0" applyFont="1" applyFill="1" applyAlignment="1">
      <alignment/>
    </xf>
    <xf numFmtId="165" fontId="6" fillId="3" borderId="0" xfId="15" applyNumberFormat="1" applyFont="1" applyFill="1" applyAlignment="1">
      <alignment/>
    </xf>
    <xf numFmtId="165" fontId="2" fillId="3" borderId="0" xfId="0" applyNumberFormat="1" applyFont="1" applyFill="1" applyAlignment="1">
      <alignment/>
    </xf>
    <xf numFmtId="0" fontId="5" fillId="3" borderId="0" xfId="0" applyFont="1" applyFill="1" applyBorder="1" applyAlignment="1">
      <alignment/>
    </xf>
    <xf numFmtId="0" fontId="0" fillId="3" borderId="0" xfId="0" applyFill="1" applyAlignment="1">
      <alignment horizontal="right"/>
    </xf>
    <xf numFmtId="0" fontId="0" fillId="3" borderId="0" xfId="0" applyFill="1" applyBorder="1" applyAlignment="1">
      <alignment horizontal="right"/>
    </xf>
    <xf numFmtId="10" fontId="0" fillId="3" borderId="0" xfId="21" applyNumberFormat="1" applyFill="1" applyBorder="1" applyAlignment="1">
      <alignment horizontal="right"/>
    </xf>
    <xf numFmtId="43" fontId="0" fillId="3" borderId="0" xfId="15" applyNumberFormat="1" applyFill="1" applyBorder="1" applyAlignment="1">
      <alignment/>
    </xf>
    <xf numFmtId="0" fontId="0" fillId="3" borderId="0" xfId="0" applyFill="1" applyAlignment="1">
      <alignment vertical="top"/>
    </xf>
    <xf numFmtId="0" fontId="0" fillId="3" borderId="0" xfId="0" applyFill="1" applyAlignment="1">
      <alignment vertical="top" wrapText="1"/>
    </xf>
    <xf numFmtId="206" fontId="2" fillId="3" borderId="0" xfId="0" applyNumberFormat="1" applyFont="1" applyFill="1" applyAlignment="1">
      <alignment vertical="top"/>
    </xf>
    <xf numFmtId="206" fontId="4" fillId="3" borderId="0" xfId="0" applyNumberFormat="1" applyFont="1" applyFill="1" applyAlignment="1">
      <alignment horizontal="center" vertical="top"/>
    </xf>
    <xf numFmtId="0" fontId="40" fillId="3" borderId="0" xfId="0" applyFont="1" applyFill="1" applyAlignment="1">
      <alignment vertical="top"/>
    </xf>
    <xf numFmtId="0" fontId="5" fillId="3" borderId="8" xfId="0" applyFont="1" applyFill="1" applyBorder="1" applyAlignment="1">
      <alignment vertical="top" wrapText="1"/>
    </xf>
    <xf numFmtId="206" fontId="5" fillId="3" borderId="8" xfId="0" applyNumberFormat="1" applyFont="1" applyFill="1" applyBorder="1" applyAlignment="1">
      <alignment vertical="top" wrapText="1"/>
    </xf>
    <xf numFmtId="206" fontId="59" fillId="3" borderId="8" xfId="0" applyNumberFormat="1" applyFont="1" applyFill="1" applyBorder="1" applyAlignment="1">
      <alignment horizontal="center" vertical="top" wrapText="1"/>
    </xf>
    <xf numFmtId="0" fontId="5" fillId="3" borderId="6" xfId="0" applyFont="1" applyFill="1" applyBorder="1" applyAlignment="1">
      <alignment vertical="top" wrapText="1"/>
    </xf>
    <xf numFmtId="0" fontId="57" fillId="3" borderId="1" xfId="0" applyFont="1" applyFill="1" applyBorder="1" applyAlignment="1">
      <alignment wrapText="1"/>
    </xf>
    <xf numFmtId="0" fontId="57" fillId="3" borderId="2" xfId="0" applyFont="1" applyFill="1" applyBorder="1" applyAlignment="1">
      <alignment wrapText="1"/>
    </xf>
    <xf numFmtId="0" fontId="57" fillId="3" borderId="3" xfId="0" applyFont="1" applyFill="1" applyBorder="1" applyAlignment="1">
      <alignment wrapText="1"/>
    </xf>
    <xf numFmtId="0" fontId="0" fillId="3" borderId="1" xfId="0" applyFill="1" applyBorder="1" applyAlignment="1">
      <alignment vertical="top"/>
    </xf>
    <xf numFmtId="0" fontId="2" fillId="3" borderId="2" xfId="0" applyFont="1" applyFill="1" applyBorder="1" applyAlignment="1">
      <alignment vertical="top" wrapText="1"/>
    </xf>
    <xf numFmtId="0" fontId="2" fillId="3" borderId="2" xfId="0" applyFont="1" applyFill="1" applyBorder="1" applyAlignment="1">
      <alignment vertical="top"/>
    </xf>
    <xf numFmtId="207" fontId="2" fillId="3" borderId="2" xfId="0" applyNumberFormat="1" applyFont="1" applyFill="1" applyBorder="1" applyAlignment="1">
      <alignment horizontal="left" vertical="top"/>
    </xf>
    <xf numFmtId="207" fontId="29" fillId="3" borderId="2" xfId="0" applyNumberFormat="1" applyFont="1" applyFill="1" applyBorder="1" applyAlignment="1">
      <alignment horizontal="center" vertical="top"/>
    </xf>
    <xf numFmtId="207" fontId="2" fillId="3" borderId="1" xfId="0" applyNumberFormat="1" applyFont="1" applyFill="1" applyBorder="1" applyAlignment="1">
      <alignment vertical="top"/>
    </xf>
    <xf numFmtId="207" fontId="2" fillId="3" borderId="2" xfId="0" applyNumberFormat="1" applyFont="1" applyFill="1" applyBorder="1" applyAlignment="1">
      <alignment vertical="top"/>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vertical="top"/>
    </xf>
    <xf numFmtId="0" fontId="2" fillId="3" borderId="0" xfId="0" applyFont="1" applyFill="1" applyBorder="1" applyAlignment="1">
      <alignment vertical="top" wrapText="1"/>
    </xf>
    <xf numFmtId="0" fontId="2" fillId="3" borderId="0" xfId="0" applyFont="1" applyFill="1" applyBorder="1" applyAlignment="1">
      <alignment vertical="top"/>
    </xf>
    <xf numFmtId="207" fontId="2" fillId="3" borderId="0" xfId="0" applyNumberFormat="1" applyFont="1" applyFill="1" applyBorder="1" applyAlignment="1">
      <alignment horizontal="left" vertical="top"/>
    </xf>
    <xf numFmtId="207" fontId="29" fillId="3" borderId="0" xfId="0" applyNumberFormat="1" applyFont="1" applyFill="1" applyBorder="1" applyAlignment="1">
      <alignment horizontal="center" vertical="top"/>
    </xf>
    <xf numFmtId="207" fontId="2" fillId="3" borderId="4" xfId="0" applyNumberFormat="1" applyFont="1" applyFill="1" applyBorder="1" applyAlignment="1">
      <alignment vertical="top"/>
    </xf>
    <xf numFmtId="0" fontId="0" fillId="3" borderId="0" xfId="0" applyFill="1" applyBorder="1" applyAlignment="1">
      <alignment vertical="top"/>
    </xf>
    <xf numFmtId="0" fontId="0" fillId="3" borderId="5" xfId="0" applyFill="1" applyBorder="1" applyAlignment="1">
      <alignment vertical="top"/>
    </xf>
    <xf numFmtId="0" fontId="0" fillId="3" borderId="0" xfId="0" applyFill="1" applyBorder="1" applyAlignment="1">
      <alignment vertical="top" wrapText="1"/>
    </xf>
    <xf numFmtId="207" fontId="2" fillId="3" borderId="0" xfId="0" applyNumberFormat="1" applyFont="1" applyFill="1" applyBorder="1" applyAlignment="1">
      <alignment horizontal="center" vertical="top"/>
    </xf>
    <xf numFmtId="207" fontId="4" fillId="3" borderId="0" xfId="0" applyNumberFormat="1" applyFont="1" applyFill="1" applyBorder="1" applyAlignment="1">
      <alignment horizontal="center" vertical="top"/>
    </xf>
    <xf numFmtId="0" fontId="0" fillId="3" borderId="4" xfId="0" applyFill="1" applyBorder="1" applyAlignment="1">
      <alignment/>
    </xf>
    <xf numFmtId="0" fontId="0" fillId="3" borderId="17" xfId="0" applyFill="1" applyBorder="1" applyAlignment="1">
      <alignment vertical="top"/>
    </xf>
    <xf numFmtId="0" fontId="0" fillId="3" borderId="18" xfId="0" applyFill="1" applyBorder="1" applyAlignment="1">
      <alignment vertical="top" wrapText="1"/>
    </xf>
    <xf numFmtId="0" fontId="0" fillId="3" borderId="18" xfId="0" applyFill="1" applyBorder="1" applyAlignment="1">
      <alignment vertical="top"/>
    </xf>
    <xf numFmtId="207" fontId="2" fillId="3" borderId="18" xfId="0" applyNumberFormat="1" applyFont="1" applyFill="1" applyBorder="1" applyAlignment="1">
      <alignment horizontal="center" vertical="top"/>
    </xf>
    <xf numFmtId="207" fontId="4" fillId="3" borderId="18" xfId="0" applyNumberFormat="1" applyFont="1" applyFill="1" applyBorder="1" applyAlignment="1">
      <alignment horizontal="center" vertical="top"/>
    </xf>
    <xf numFmtId="0" fontId="0" fillId="3" borderId="17" xfId="0" applyFill="1" applyBorder="1" applyAlignment="1">
      <alignment/>
    </xf>
    <xf numFmtId="0" fontId="0" fillId="3" borderId="20" xfId="0" applyFill="1" applyBorder="1" applyAlignment="1">
      <alignment vertical="top"/>
    </xf>
    <xf numFmtId="0" fontId="0" fillId="3" borderId="2" xfId="0" applyFill="1" applyBorder="1" applyAlignment="1">
      <alignment vertical="top"/>
    </xf>
    <xf numFmtId="0" fontId="0" fillId="3" borderId="3" xfId="0" applyFill="1" applyBorder="1" applyAlignment="1">
      <alignment vertical="top"/>
    </xf>
    <xf numFmtId="0" fontId="2" fillId="3" borderId="18" xfId="0" applyFont="1" applyFill="1" applyBorder="1" applyAlignment="1">
      <alignment vertical="top" wrapText="1"/>
    </xf>
    <xf numFmtId="0" fontId="2" fillId="3" borderId="18" xfId="0" applyFont="1" applyFill="1" applyBorder="1" applyAlignment="1">
      <alignment vertical="top"/>
    </xf>
    <xf numFmtId="207" fontId="2" fillId="3" borderId="18" xfId="0" applyNumberFormat="1" applyFont="1" applyFill="1" applyBorder="1" applyAlignment="1">
      <alignment horizontal="left" vertical="top"/>
    </xf>
    <xf numFmtId="207" fontId="29" fillId="3" borderId="18" xfId="0" applyNumberFormat="1" applyFont="1" applyFill="1" applyBorder="1" applyAlignment="1">
      <alignment horizontal="center" vertical="top"/>
    </xf>
    <xf numFmtId="207" fontId="2" fillId="3" borderId="17" xfId="0" applyNumberFormat="1" applyFont="1" applyFill="1" applyBorder="1" applyAlignment="1">
      <alignment vertical="top"/>
    </xf>
    <xf numFmtId="0" fontId="2" fillId="3" borderId="18" xfId="0" applyFont="1" applyFill="1" applyBorder="1" applyAlignment="1">
      <alignment horizontal="center" vertical="top"/>
    </xf>
    <xf numFmtId="207" fontId="2" fillId="3" borderId="0" xfId="0" applyNumberFormat="1" applyFont="1" applyFill="1" applyAlignment="1">
      <alignment horizontal="left" vertical="top"/>
    </xf>
    <xf numFmtId="207" fontId="4" fillId="3" borderId="0" xfId="0" applyNumberFormat="1" applyFont="1" applyFill="1" applyAlignment="1">
      <alignment horizontal="center" vertical="top"/>
    </xf>
    <xf numFmtId="207" fontId="0" fillId="3" borderId="4" xfId="0" applyNumberFormat="1" applyFill="1" applyBorder="1" applyAlignment="1">
      <alignment vertical="top"/>
    </xf>
    <xf numFmtId="207" fontId="0" fillId="3" borderId="0" xfId="0" applyNumberFormat="1" applyFill="1" applyBorder="1" applyAlignment="1">
      <alignment vertical="top"/>
    </xf>
    <xf numFmtId="0" fontId="2" fillId="3" borderId="0" xfId="0" applyFont="1" applyFill="1" applyAlignment="1">
      <alignment vertical="top" wrapText="1"/>
    </xf>
    <xf numFmtId="0" fontId="2" fillId="3" borderId="0" xfId="0" applyFont="1" applyFill="1" applyAlignment="1">
      <alignment vertical="top"/>
    </xf>
    <xf numFmtId="207" fontId="29" fillId="3" borderId="0" xfId="0" applyNumberFormat="1" applyFont="1" applyFill="1" applyAlignment="1">
      <alignment horizontal="center" vertical="top"/>
    </xf>
    <xf numFmtId="0" fontId="2" fillId="3" borderId="4" xfId="0" applyFont="1" applyFill="1" applyBorder="1" applyAlignment="1">
      <alignment/>
    </xf>
    <xf numFmtId="3" fontId="2" fillId="3" borderId="0" xfId="0" applyNumberFormat="1" applyFont="1" applyFill="1" applyBorder="1" applyAlignment="1" quotePrefix="1">
      <alignment vertical="top" wrapText="1"/>
    </xf>
    <xf numFmtId="0" fontId="0" fillId="3" borderId="32" xfId="0" applyFill="1" applyBorder="1" applyAlignment="1">
      <alignment vertical="top" wrapText="1"/>
    </xf>
    <xf numFmtId="0" fontId="0" fillId="3" borderId="43" xfId="0" applyFill="1" applyBorder="1" applyAlignment="1">
      <alignment vertical="top" wrapText="1"/>
    </xf>
    <xf numFmtId="0" fontId="0" fillId="3" borderId="43" xfId="0" applyFill="1" applyBorder="1" applyAlignment="1">
      <alignment vertical="top"/>
    </xf>
    <xf numFmtId="207" fontId="2" fillId="3" borderId="43" xfId="0" applyNumberFormat="1" applyFont="1" applyFill="1" applyBorder="1" applyAlignment="1">
      <alignment horizontal="center" vertical="top"/>
    </xf>
    <xf numFmtId="207" fontId="4" fillId="3" borderId="43" xfId="0" applyNumberFormat="1" applyFont="1" applyFill="1" applyBorder="1" applyAlignment="1">
      <alignment horizontal="center" vertical="top"/>
    </xf>
    <xf numFmtId="0" fontId="0" fillId="3" borderId="32" xfId="0" applyFill="1" applyBorder="1" applyAlignment="1">
      <alignment/>
    </xf>
    <xf numFmtId="0" fontId="0" fillId="3" borderId="43" xfId="0" applyFill="1" applyBorder="1" applyAlignment="1">
      <alignment/>
    </xf>
    <xf numFmtId="207" fontId="0" fillId="3" borderId="43" xfId="0" applyNumberFormat="1" applyFill="1" applyBorder="1" applyAlignment="1">
      <alignment vertical="top"/>
    </xf>
    <xf numFmtId="0" fontId="0" fillId="3" borderId="42" xfId="0" applyFill="1" applyBorder="1" applyAlignment="1">
      <alignment vertical="top"/>
    </xf>
    <xf numFmtId="207" fontId="0" fillId="3" borderId="5" xfId="0" applyNumberFormat="1" applyFill="1" applyBorder="1" applyAlignment="1">
      <alignment vertical="top"/>
    </xf>
    <xf numFmtId="0" fontId="2" fillId="3" borderId="35" xfId="0" applyFont="1" applyFill="1" applyBorder="1" applyAlignment="1">
      <alignment vertical="top" wrapText="1"/>
    </xf>
    <xf numFmtId="0" fontId="2" fillId="3" borderId="13" xfId="0" applyFont="1" applyFill="1" applyBorder="1" applyAlignment="1">
      <alignment vertical="top" wrapText="1"/>
    </xf>
    <xf numFmtId="0" fontId="2" fillId="3" borderId="13" xfId="0" applyFont="1" applyFill="1" applyBorder="1" applyAlignment="1">
      <alignment vertical="top"/>
    </xf>
    <xf numFmtId="207" fontId="2" fillId="3" borderId="13" xfId="0" applyNumberFormat="1" applyFont="1" applyFill="1" applyBorder="1" applyAlignment="1">
      <alignment horizontal="left" vertical="top"/>
    </xf>
    <xf numFmtId="207" fontId="29" fillId="3" borderId="13" xfId="0" applyNumberFormat="1" applyFont="1" applyFill="1" applyBorder="1" applyAlignment="1">
      <alignment horizontal="center" vertical="top"/>
    </xf>
    <xf numFmtId="207" fontId="2" fillId="3" borderId="44" xfId="0" applyNumberFormat="1" applyFont="1" applyFill="1" applyBorder="1" applyAlignment="1">
      <alignment vertical="top"/>
    </xf>
    <xf numFmtId="207" fontId="0" fillId="3" borderId="13" xfId="0" applyNumberFormat="1" applyFill="1" applyBorder="1" applyAlignment="1">
      <alignment vertical="top"/>
    </xf>
    <xf numFmtId="0" fontId="0" fillId="3" borderId="45" xfId="0" applyFill="1" applyBorder="1" applyAlignment="1">
      <alignment vertical="top"/>
    </xf>
    <xf numFmtId="207" fontId="2" fillId="3" borderId="0" xfId="0" applyNumberFormat="1" applyFont="1" applyFill="1" applyBorder="1" applyAlignment="1">
      <alignment vertical="top" wrapText="1"/>
    </xf>
    <xf numFmtId="207" fontId="2" fillId="3" borderId="4" xfId="0" applyNumberFormat="1" applyFont="1" applyFill="1" applyBorder="1" applyAlignment="1">
      <alignment/>
    </xf>
    <xf numFmtId="207" fontId="19" fillId="3" borderId="0" xfId="0" applyNumberFormat="1" applyFont="1" applyFill="1" applyAlignment="1">
      <alignment horizontal="left" vertical="top"/>
    </xf>
    <xf numFmtId="207" fontId="58" fillId="3" borderId="0" xfId="0" applyNumberFormat="1" applyFont="1" applyFill="1" applyAlignment="1">
      <alignment horizontal="center" vertical="top"/>
    </xf>
    <xf numFmtId="207" fontId="0" fillId="3" borderId="0" xfId="0" applyNumberFormat="1" applyFill="1" applyAlignment="1">
      <alignment vertical="top" wrapText="1"/>
    </xf>
    <xf numFmtId="207" fontId="0" fillId="3" borderId="17" xfId="0" applyNumberFormat="1" applyFill="1" applyBorder="1" applyAlignment="1">
      <alignment/>
    </xf>
    <xf numFmtId="207" fontId="0" fillId="3" borderId="18" xfId="0" applyNumberFormat="1" applyFill="1" applyBorder="1" applyAlignment="1">
      <alignment/>
    </xf>
    <xf numFmtId="207" fontId="0" fillId="3" borderId="20" xfId="0" applyNumberFormat="1" applyFill="1" applyBorder="1" applyAlignment="1">
      <alignment/>
    </xf>
    <xf numFmtId="0" fontId="14" fillId="3" borderId="0" xfId="0" applyFont="1" applyFill="1" applyAlignment="1">
      <alignment vertical="top"/>
    </xf>
    <xf numFmtId="207" fontId="42" fillId="3" borderId="0" xfId="0" applyNumberFormat="1" applyFont="1" applyFill="1" applyAlignment="1">
      <alignment horizontal="center" vertical="top"/>
    </xf>
    <xf numFmtId="207" fontId="60" fillId="3" borderId="0" xfId="0" applyNumberFormat="1" applyFont="1" applyFill="1" applyAlignment="1">
      <alignment horizontal="center" vertical="top"/>
    </xf>
    <xf numFmtId="0" fontId="0" fillId="3" borderId="0" xfId="0" applyFill="1" applyAlignment="1">
      <alignment horizontal="right" vertical="top" wrapText="1"/>
    </xf>
    <xf numFmtId="0" fontId="4" fillId="3" borderId="0" xfId="0" applyFont="1" applyFill="1" applyAlignment="1">
      <alignment horizontal="center" vertical="top"/>
    </xf>
    <xf numFmtId="207" fontId="2" fillId="3" borderId="0" xfId="0" applyNumberFormat="1" applyFont="1" applyFill="1" applyAlignment="1">
      <alignment horizontal="center" vertical="top"/>
    </xf>
    <xf numFmtId="0" fontId="4" fillId="3" borderId="0" xfId="0" applyFont="1" applyFill="1" applyAlignment="1">
      <alignment horizontal="center"/>
    </xf>
    <xf numFmtId="0" fontId="3" fillId="3" borderId="18" xfId="0" applyFont="1" applyFill="1" applyBorder="1" applyAlignment="1">
      <alignment horizontal="center" wrapText="1"/>
    </xf>
    <xf numFmtId="0" fontId="3" fillId="3" borderId="0" xfId="0" applyFont="1" applyFill="1" applyAlignment="1">
      <alignment/>
    </xf>
    <xf numFmtId="0" fontId="40" fillId="3" borderId="0" xfId="0" applyFont="1" applyFill="1" applyAlignment="1">
      <alignment/>
    </xf>
    <xf numFmtId="0" fontId="40" fillId="3" borderId="1" xfId="0" applyFont="1" applyFill="1" applyBorder="1" applyAlignment="1">
      <alignment horizontal="centerContinuous"/>
    </xf>
    <xf numFmtId="0" fontId="18" fillId="3" borderId="2" xfId="0" applyFont="1" applyFill="1" applyBorder="1" applyAlignment="1">
      <alignment horizontal="centerContinuous"/>
    </xf>
    <xf numFmtId="9" fontId="19" fillId="3" borderId="2" xfId="21" applyFont="1" applyFill="1" applyBorder="1" applyAlignment="1">
      <alignment horizontal="centerContinuous" wrapText="1"/>
    </xf>
    <xf numFmtId="165" fontId="19" fillId="3" borderId="2" xfId="15" applyNumberFormat="1" applyFont="1" applyFill="1" applyBorder="1" applyAlignment="1">
      <alignment horizontal="centerContinuous" wrapText="1"/>
    </xf>
    <xf numFmtId="0" fontId="18" fillId="3" borderId="3" xfId="0" applyFont="1" applyFill="1" applyBorder="1" applyAlignment="1">
      <alignment horizontal="centerContinuous"/>
    </xf>
    <xf numFmtId="0" fontId="40" fillId="3" borderId="0" xfId="0" applyFont="1" applyFill="1" applyAlignment="1">
      <alignment horizontal="centerContinuous"/>
    </xf>
    <xf numFmtId="9" fontId="19" fillId="3" borderId="0" xfId="21" applyFont="1" applyFill="1" applyBorder="1" applyAlignment="1">
      <alignment horizontal="centerContinuous" wrapText="1"/>
    </xf>
    <xf numFmtId="165" fontId="19" fillId="3" borderId="0" xfId="15" applyNumberFormat="1" applyFont="1" applyFill="1" applyBorder="1" applyAlignment="1">
      <alignment horizontal="centerContinuous" wrapText="1"/>
    </xf>
    <xf numFmtId="0" fontId="18" fillId="3" borderId="0" xfId="0" applyFont="1" applyFill="1" applyBorder="1" applyAlignment="1">
      <alignment horizontal="centerContinuous"/>
    </xf>
    <xf numFmtId="0" fontId="2" fillId="3" borderId="1" xfId="0" applyFont="1" applyFill="1" applyBorder="1" applyAlignment="1">
      <alignment horizontal="centerContinuous"/>
    </xf>
    <xf numFmtId="0" fontId="2" fillId="3" borderId="2" xfId="0" applyFont="1" applyFill="1" applyBorder="1" applyAlignment="1">
      <alignment horizontal="centerContinuous"/>
    </xf>
    <xf numFmtId="0" fontId="2" fillId="3" borderId="2" xfId="0" applyFont="1" applyFill="1" applyBorder="1" applyAlignment="1">
      <alignment horizontal="center"/>
    </xf>
    <xf numFmtId="0" fontId="2" fillId="3" borderId="3" xfId="0" applyFont="1" applyFill="1" applyBorder="1" applyAlignment="1">
      <alignment horizontal="centerContinuous"/>
    </xf>
    <xf numFmtId="0" fontId="40" fillId="3" borderId="3" xfId="0" applyFont="1" applyFill="1" applyBorder="1" applyAlignment="1">
      <alignment horizontal="centerContinuous"/>
    </xf>
    <xf numFmtId="165" fontId="35" fillId="3" borderId="0" xfId="15" applyNumberFormat="1" applyFont="1" applyFill="1" applyAlignment="1">
      <alignment/>
    </xf>
    <xf numFmtId="0" fontId="40" fillId="3" borderId="4" xfId="0" applyFont="1" applyFill="1" applyBorder="1" applyAlignment="1">
      <alignment horizontal="centerContinuous"/>
    </xf>
    <xf numFmtId="0" fontId="40" fillId="3" borderId="0" xfId="0" applyFont="1" applyFill="1" applyBorder="1" applyAlignment="1">
      <alignment horizontal="centerContinuous"/>
    </xf>
    <xf numFmtId="0" fontId="18" fillId="3" borderId="5" xfId="0" applyFont="1" applyFill="1" applyBorder="1" applyAlignment="1">
      <alignment horizontal="centerContinuous"/>
    </xf>
    <xf numFmtId="0" fontId="2" fillId="3" borderId="0" xfId="0" applyFont="1" applyFill="1" applyBorder="1" applyAlignment="1">
      <alignment horizontal="center"/>
    </xf>
    <xf numFmtId="0" fontId="2" fillId="3" borderId="0" xfId="0" applyFont="1" applyFill="1" applyBorder="1" applyAlignment="1" quotePrefix="1">
      <alignment horizontal="center"/>
    </xf>
    <xf numFmtId="0" fontId="2" fillId="3" borderId="5" xfId="0" applyFont="1" applyFill="1" applyBorder="1" applyAlignment="1">
      <alignment horizontal="center"/>
    </xf>
    <xf numFmtId="0" fontId="40" fillId="3" borderId="0" xfId="0" applyFont="1" applyFill="1" applyBorder="1" applyAlignment="1">
      <alignment horizontal="left"/>
    </xf>
    <xf numFmtId="0" fontId="40" fillId="3" borderId="5" xfId="0" applyFont="1" applyFill="1" applyBorder="1" applyAlignment="1">
      <alignment horizontal="centerContinuous"/>
    </xf>
    <xf numFmtId="0" fontId="30" fillId="3" borderId="0" xfId="0" applyFont="1" applyFill="1" applyBorder="1" applyAlignment="1">
      <alignment horizontal="center" wrapText="1"/>
    </xf>
    <xf numFmtId="0" fontId="30" fillId="3" borderId="0" xfId="0" applyFont="1" applyFill="1" applyBorder="1" applyAlignment="1" quotePrefix="1">
      <alignment horizontal="center" wrapText="1"/>
    </xf>
    <xf numFmtId="0" fontId="57" fillId="3" borderId="0" xfId="0" applyFont="1" applyFill="1" applyAlignment="1">
      <alignment wrapText="1"/>
    </xf>
    <xf numFmtId="1" fontId="57" fillId="3" borderId="0" xfId="0" applyNumberFormat="1" applyFont="1" applyFill="1" applyAlignment="1">
      <alignment wrapText="1"/>
    </xf>
    <xf numFmtId="0" fontId="10" fillId="3" borderId="0" xfId="0" applyFont="1" applyFill="1" applyAlignment="1">
      <alignment horizontal="left" wrapText="1"/>
    </xf>
    <xf numFmtId="0" fontId="7" fillId="3" borderId="17" xfId="0" applyFont="1" applyFill="1" applyBorder="1" applyAlignment="1">
      <alignment wrapText="1"/>
    </xf>
    <xf numFmtId="0" fontId="57" fillId="3" borderId="18" xfId="0" applyFont="1" applyFill="1" applyBorder="1" applyAlignment="1">
      <alignment wrapText="1"/>
    </xf>
    <xf numFmtId="9" fontId="2" fillId="3" borderId="18" xfId="21" applyFont="1" applyFill="1" applyBorder="1" applyAlignment="1">
      <alignment horizontal="center" wrapText="1"/>
    </xf>
    <xf numFmtId="165" fontId="2" fillId="3" borderId="18" xfId="15" applyNumberFormat="1" applyFont="1" applyFill="1" applyBorder="1" applyAlignment="1">
      <alignment horizontal="center" wrapText="1"/>
    </xf>
    <xf numFmtId="0" fontId="57" fillId="3" borderId="17" xfId="0" applyFont="1" applyFill="1" applyBorder="1" applyAlignment="1">
      <alignment wrapText="1"/>
    </xf>
    <xf numFmtId="165" fontId="19" fillId="3" borderId="20" xfId="15" applyNumberFormat="1" applyFont="1" applyFill="1" applyBorder="1" applyAlignment="1">
      <alignment horizontal="center" wrapText="1"/>
    </xf>
    <xf numFmtId="165" fontId="19" fillId="3" borderId="18" xfId="15" applyNumberFormat="1" applyFont="1" applyFill="1" applyBorder="1" applyAlignment="1">
      <alignment horizontal="center" wrapText="1"/>
    </xf>
    <xf numFmtId="0" fontId="78" fillId="3" borderId="17" xfId="0" applyFont="1" applyFill="1" applyBorder="1" applyAlignment="1">
      <alignment wrapText="1"/>
    </xf>
    <xf numFmtId="0" fontId="78" fillId="3" borderId="20" xfId="0" applyFont="1" applyFill="1" applyBorder="1" applyAlignment="1">
      <alignment wrapText="1"/>
    </xf>
    <xf numFmtId="0" fontId="78" fillId="3" borderId="18" xfId="0" applyFont="1" applyFill="1" applyBorder="1" applyAlignment="1">
      <alignment wrapText="1"/>
    </xf>
    <xf numFmtId="0" fontId="40" fillId="3" borderId="18" xfId="0" applyFont="1" applyFill="1" applyBorder="1" applyAlignment="1">
      <alignment wrapText="1"/>
    </xf>
    <xf numFmtId="9" fontId="20" fillId="3" borderId="18" xfId="21" applyFont="1" applyFill="1" applyBorder="1" applyAlignment="1">
      <alignment horizontal="center" wrapText="1"/>
    </xf>
    <xf numFmtId="165" fontId="35" fillId="3" borderId="0" xfId="15" applyNumberFormat="1" applyFont="1" applyFill="1" applyAlignment="1">
      <alignment wrapText="1"/>
    </xf>
    <xf numFmtId="0" fontId="82" fillId="3" borderId="0" xfId="0" applyFont="1" applyFill="1" applyBorder="1" applyAlignment="1" quotePrefix="1">
      <alignment horizontal="centerContinuous"/>
    </xf>
    <xf numFmtId="0" fontId="30" fillId="3" borderId="16" xfId="0" applyFont="1" applyFill="1" applyBorder="1" applyAlignment="1">
      <alignment/>
    </xf>
    <xf numFmtId="0" fontId="10" fillId="3" borderId="0" xfId="0" applyFont="1" applyFill="1" applyAlignment="1">
      <alignment/>
    </xf>
    <xf numFmtId="0" fontId="30" fillId="3" borderId="46" xfId="0" applyFont="1" applyFill="1" applyBorder="1" applyAlignment="1">
      <alignment/>
    </xf>
    <xf numFmtId="9" fontId="2" fillId="3" borderId="16" xfId="21" applyFont="1" applyFill="1" applyBorder="1" applyAlignment="1">
      <alignment horizontal="center" wrapText="1"/>
    </xf>
    <xf numFmtId="165" fontId="2" fillId="3" borderId="47" xfId="15" applyNumberFormat="1" applyFont="1" applyFill="1" applyBorder="1" applyAlignment="1">
      <alignment horizontal="center" wrapText="1"/>
    </xf>
    <xf numFmtId="165" fontId="2" fillId="3" borderId="16" xfId="15" applyNumberFormat="1" applyFont="1" applyFill="1" applyBorder="1" applyAlignment="1">
      <alignment horizontal="center" wrapText="1"/>
    </xf>
    <xf numFmtId="0" fontId="36" fillId="3" borderId="16" xfId="0" applyFont="1" applyFill="1" applyBorder="1" applyAlignment="1">
      <alignment/>
    </xf>
    <xf numFmtId="0" fontId="20" fillId="3" borderId="16" xfId="0" applyFont="1" applyFill="1" applyBorder="1" applyAlignment="1">
      <alignment horizontal="center"/>
    </xf>
    <xf numFmtId="1" fontId="19" fillId="3" borderId="16" xfId="0" applyNumberFormat="1" applyFont="1" applyFill="1" applyBorder="1" applyAlignment="1">
      <alignment/>
    </xf>
    <xf numFmtId="165" fontId="20" fillId="3" borderId="0" xfId="15" applyNumberFormat="1" applyFont="1" applyFill="1" applyAlignment="1">
      <alignment/>
    </xf>
    <xf numFmtId="0" fontId="30" fillId="3" borderId="0" xfId="0" applyFont="1" applyFill="1" applyAlignment="1">
      <alignment/>
    </xf>
    <xf numFmtId="0" fontId="76" fillId="3" borderId="0" xfId="0" applyFont="1" applyFill="1" applyBorder="1" applyAlignment="1">
      <alignment horizontal="center" wrapText="1"/>
    </xf>
    <xf numFmtId="0" fontId="35" fillId="3" borderId="6" xfId="0" applyFont="1" applyFill="1" applyBorder="1" applyAlignment="1">
      <alignment horizontal="centerContinuous" wrapText="1"/>
    </xf>
    <xf numFmtId="0" fontId="35" fillId="3" borderId="10" xfId="0" applyFont="1" applyFill="1" applyBorder="1" applyAlignment="1">
      <alignment horizontal="centerContinuous" wrapText="1"/>
    </xf>
    <xf numFmtId="0" fontId="20" fillId="3" borderId="10" xfId="0" applyFont="1" applyFill="1" applyBorder="1" applyAlignment="1" quotePrefix="1">
      <alignment horizontal="centerContinuous" wrapText="1"/>
    </xf>
    <xf numFmtId="0" fontId="0" fillId="3" borderId="48" xfId="0" applyFill="1" applyBorder="1" applyAlignment="1">
      <alignment/>
    </xf>
    <xf numFmtId="0" fontId="0" fillId="3" borderId="49" xfId="0" applyFill="1" applyBorder="1" applyAlignment="1">
      <alignment/>
    </xf>
    <xf numFmtId="1" fontId="36" fillId="3" borderId="0" xfId="15" applyNumberFormat="1" applyFont="1" applyFill="1" applyAlignment="1">
      <alignment/>
    </xf>
    <xf numFmtId="9" fontId="20" fillId="3" borderId="0" xfId="21" applyFont="1" applyFill="1" applyAlignment="1">
      <alignment horizontal="center"/>
    </xf>
    <xf numFmtId="1" fontId="18" fillId="3" borderId="0" xfId="0" applyNumberFormat="1" applyFont="1" applyFill="1" applyAlignment="1">
      <alignment/>
    </xf>
    <xf numFmtId="1" fontId="0" fillId="3" borderId="0" xfId="0" applyNumberFormat="1" applyFill="1" applyAlignment="1">
      <alignment/>
    </xf>
    <xf numFmtId="0" fontId="77" fillId="3" borderId="0" xfId="0" applyFont="1" applyFill="1" applyBorder="1" applyAlignment="1">
      <alignment horizontal="center"/>
    </xf>
    <xf numFmtId="0" fontId="0" fillId="3" borderId="50" xfId="0" applyFill="1" applyBorder="1" applyAlignment="1">
      <alignment/>
    </xf>
    <xf numFmtId="176" fontId="0" fillId="3" borderId="0" xfId="0" applyNumberFormat="1" applyFill="1" applyAlignment="1">
      <alignment/>
    </xf>
    <xf numFmtId="1" fontId="0" fillId="3" borderId="0" xfId="0" applyNumberFormat="1" applyFill="1" applyBorder="1" applyAlignment="1">
      <alignment/>
    </xf>
    <xf numFmtId="203" fontId="77" fillId="3" borderId="0" xfId="0" applyNumberFormat="1" applyFont="1" applyFill="1" applyBorder="1" applyAlignment="1">
      <alignment horizontal="center"/>
    </xf>
    <xf numFmtId="1" fontId="0" fillId="3" borderId="48" xfId="0" applyNumberFormat="1" applyFill="1" applyBorder="1" applyAlignment="1">
      <alignment/>
    </xf>
    <xf numFmtId="1" fontId="0" fillId="3" borderId="49" xfId="0" applyNumberFormat="1" applyFill="1" applyBorder="1" applyAlignment="1">
      <alignment/>
    </xf>
    <xf numFmtId="203" fontId="76" fillId="3" borderId="0" xfId="0" applyNumberFormat="1" applyFont="1" applyFill="1" applyBorder="1" applyAlignment="1">
      <alignment horizontal="center"/>
    </xf>
    <xf numFmtId="1" fontId="2" fillId="3" borderId="6" xfId="0" applyNumberFormat="1" applyFont="1" applyFill="1" applyBorder="1" applyAlignment="1">
      <alignment/>
    </xf>
    <xf numFmtId="1" fontId="2" fillId="3" borderId="10" xfId="0" applyNumberFormat="1" applyFont="1" applyFill="1" applyBorder="1" applyAlignment="1">
      <alignment/>
    </xf>
    <xf numFmtId="1" fontId="2" fillId="3" borderId="49" xfId="0" applyNumberFormat="1" applyFont="1" applyFill="1" applyBorder="1" applyAlignment="1">
      <alignment/>
    </xf>
    <xf numFmtId="203" fontId="77" fillId="3" borderId="27" xfId="0" applyNumberFormat="1" applyFont="1" applyFill="1" applyBorder="1" applyAlignment="1">
      <alignment horizontal="center"/>
    </xf>
    <xf numFmtId="9" fontId="72" fillId="3" borderId="27" xfId="21" applyFont="1" applyFill="1" applyBorder="1" applyAlignment="1">
      <alignment horizontal="center"/>
    </xf>
    <xf numFmtId="9" fontId="23" fillId="3" borderId="27" xfId="21" applyFont="1" applyFill="1" applyBorder="1" applyAlignment="1">
      <alignment horizontal="center"/>
    </xf>
    <xf numFmtId="166" fontId="20" fillId="3" borderId="0" xfId="21" applyNumberFormat="1" applyFont="1" applyFill="1" applyBorder="1" applyAlignment="1">
      <alignment horizontal="left"/>
    </xf>
    <xf numFmtId="1" fontId="2" fillId="3" borderId="8" xfId="0" applyNumberFormat="1" applyFont="1" applyFill="1" applyBorder="1" applyAlignment="1">
      <alignment/>
    </xf>
    <xf numFmtId="0" fontId="2" fillId="3" borderId="0" xfId="0" applyFont="1" applyFill="1" applyBorder="1" applyAlignment="1">
      <alignment/>
    </xf>
    <xf numFmtId="1" fontId="2" fillId="3" borderId="37" xfId="0" applyNumberFormat="1" applyFont="1" applyFill="1" applyBorder="1" applyAlignment="1">
      <alignment/>
    </xf>
    <xf numFmtId="9" fontId="2" fillId="3" borderId="0" xfId="21" applyFont="1" applyFill="1" applyBorder="1" applyAlignment="1">
      <alignment/>
    </xf>
    <xf numFmtId="0" fontId="2" fillId="3" borderId="37" xfId="0" applyFont="1" applyFill="1" applyBorder="1" applyAlignment="1">
      <alignment/>
    </xf>
    <xf numFmtId="1" fontId="0" fillId="3" borderId="39" xfId="0" applyNumberFormat="1" applyFill="1" applyBorder="1" applyAlignment="1">
      <alignment/>
    </xf>
    <xf numFmtId="1" fontId="2" fillId="3" borderId="39" xfId="0" applyNumberFormat="1" applyFont="1" applyFill="1" applyBorder="1" applyAlignment="1">
      <alignment/>
    </xf>
    <xf numFmtId="0" fontId="2" fillId="3" borderId="39" xfId="0" applyFont="1" applyFill="1" applyBorder="1" applyAlignment="1">
      <alignment/>
    </xf>
    <xf numFmtId="1" fontId="2" fillId="3" borderId="0" xfId="0" applyNumberFormat="1" applyFont="1" applyFill="1" applyBorder="1" applyAlignment="1">
      <alignment/>
    </xf>
    <xf numFmtId="0" fontId="2" fillId="3" borderId="8" xfId="0" applyFont="1" applyFill="1" applyBorder="1" applyAlignment="1">
      <alignment/>
    </xf>
    <xf numFmtId="0" fontId="2" fillId="3" borderId="6" xfId="0" applyFont="1" applyFill="1" applyBorder="1" applyAlignment="1">
      <alignment/>
    </xf>
    <xf numFmtId="1" fontId="18" fillId="3" borderId="37" xfId="15" applyNumberFormat="1" applyFont="1" applyFill="1" applyBorder="1" applyAlignment="1">
      <alignment/>
    </xf>
    <xf numFmtId="165" fontId="20" fillId="3" borderId="37" xfId="15" applyNumberFormat="1" applyFont="1" applyFill="1" applyBorder="1" applyAlignment="1">
      <alignment/>
    </xf>
    <xf numFmtId="1" fontId="0" fillId="3" borderId="38" xfId="0" applyNumberFormat="1" applyFill="1" applyBorder="1" applyAlignment="1">
      <alignment/>
    </xf>
    <xf numFmtId="1" fontId="18" fillId="3" borderId="38" xfId="15" applyNumberFormat="1" applyFont="1" applyFill="1" applyBorder="1" applyAlignment="1">
      <alignment/>
    </xf>
    <xf numFmtId="165" fontId="20" fillId="3" borderId="38" xfId="15" applyNumberFormat="1" applyFont="1" applyFill="1" applyBorder="1" applyAlignment="1">
      <alignment/>
    </xf>
    <xf numFmtId="1" fontId="18" fillId="3" borderId="39" xfId="15" applyNumberFormat="1" applyFont="1" applyFill="1" applyBorder="1" applyAlignment="1">
      <alignment/>
    </xf>
    <xf numFmtId="165" fontId="20" fillId="3" borderId="39" xfId="15" applyNumberFormat="1" applyFont="1" applyFill="1" applyBorder="1" applyAlignment="1">
      <alignment/>
    </xf>
    <xf numFmtId="1" fontId="30" fillId="3" borderId="48" xfId="0" applyNumberFormat="1" applyFont="1" applyFill="1" applyBorder="1" applyAlignment="1">
      <alignment/>
    </xf>
    <xf numFmtId="0" fontId="2" fillId="3" borderId="49" xfId="0" applyFont="1" applyFill="1" applyBorder="1" applyAlignment="1">
      <alignment/>
    </xf>
    <xf numFmtId="1" fontId="19" fillId="3" borderId="0" xfId="0" applyNumberFormat="1" applyFont="1" applyFill="1" applyAlignment="1">
      <alignment/>
    </xf>
    <xf numFmtId="1" fontId="2" fillId="3" borderId="0" xfId="0" applyNumberFormat="1" applyFont="1" applyFill="1" applyAlignment="1">
      <alignment/>
    </xf>
    <xf numFmtId="165" fontId="19" fillId="3" borderId="0" xfId="15" applyNumberFormat="1" applyFont="1" applyFill="1" applyAlignment="1">
      <alignment/>
    </xf>
    <xf numFmtId="165" fontId="19" fillId="3" borderId="48" xfId="15" applyNumberFormat="1" applyFont="1" applyFill="1" applyBorder="1" applyAlignment="1">
      <alignment/>
    </xf>
    <xf numFmtId="165" fontId="19" fillId="3" borderId="0" xfId="15" applyNumberFormat="1" applyFont="1" applyFill="1" applyBorder="1" applyAlignment="1">
      <alignment/>
    </xf>
    <xf numFmtId="165" fontId="19" fillId="3" borderId="49" xfId="15" applyNumberFormat="1" applyFont="1" applyFill="1" applyBorder="1" applyAlignment="1">
      <alignment/>
    </xf>
    <xf numFmtId="165" fontId="19" fillId="3" borderId="0" xfId="15" applyNumberFormat="1" applyFont="1" applyFill="1" applyAlignment="1">
      <alignment horizontal="center"/>
    </xf>
    <xf numFmtId="1" fontId="10" fillId="3" borderId="0" xfId="0" applyNumberFormat="1" applyFont="1" applyFill="1" applyAlignment="1">
      <alignment/>
    </xf>
    <xf numFmtId="176" fontId="0" fillId="3" borderId="0" xfId="0" applyNumberFormat="1" applyFill="1" applyBorder="1" applyAlignment="1">
      <alignment/>
    </xf>
    <xf numFmtId="165" fontId="10" fillId="3" borderId="0" xfId="15" applyNumberFormat="1" applyFont="1" applyFill="1" applyAlignment="1">
      <alignment/>
    </xf>
    <xf numFmtId="176" fontId="30" fillId="3" borderId="0" xfId="0" applyNumberFormat="1" applyFont="1" applyFill="1" applyAlignment="1">
      <alignment/>
    </xf>
    <xf numFmtId="165" fontId="10" fillId="3" borderId="48" xfId="15" applyNumberFormat="1" applyFont="1" applyFill="1" applyBorder="1" applyAlignment="1">
      <alignment/>
    </xf>
    <xf numFmtId="165" fontId="10" fillId="3" borderId="8" xfId="15" applyNumberFormat="1" applyFont="1" applyFill="1" applyBorder="1" applyAlignment="1">
      <alignment/>
    </xf>
    <xf numFmtId="165" fontId="10" fillId="3" borderId="0" xfId="15" applyNumberFormat="1" applyFont="1" applyFill="1" applyBorder="1" applyAlignment="1">
      <alignment/>
    </xf>
    <xf numFmtId="9" fontId="10" fillId="3" borderId="0" xfId="21" applyFont="1" applyFill="1" applyBorder="1" applyAlignment="1">
      <alignment/>
    </xf>
    <xf numFmtId="165" fontId="30" fillId="3" borderId="8" xfId="15" applyNumberFormat="1" applyFont="1" applyFill="1" applyBorder="1" applyAlignment="1">
      <alignment/>
    </xf>
    <xf numFmtId="165" fontId="30" fillId="3" borderId="0" xfId="15" applyNumberFormat="1" applyFont="1" applyFill="1" applyBorder="1" applyAlignment="1">
      <alignment/>
    </xf>
    <xf numFmtId="165" fontId="10" fillId="3" borderId="49" xfId="15" applyNumberFormat="1" applyFont="1" applyFill="1" applyBorder="1" applyAlignment="1">
      <alignment/>
    </xf>
    <xf numFmtId="164" fontId="36" fillId="3" borderId="0" xfId="15" applyNumberFormat="1" applyFont="1" applyFill="1" applyAlignment="1">
      <alignment/>
    </xf>
    <xf numFmtId="165" fontId="18" fillId="3" borderId="0" xfId="15" applyNumberFormat="1" applyFont="1" applyFill="1" applyAlignment="1">
      <alignment/>
    </xf>
    <xf numFmtId="165" fontId="19" fillId="3" borderId="0" xfId="0" applyNumberFormat="1" applyFont="1" applyFill="1" applyAlignment="1">
      <alignment/>
    </xf>
    <xf numFmtId="9" fontId="10" fillId="3" borderId="0" xfId="21" applyFont="1" applyFill="1" applyAlignment="1">
      <alignment/>
    </xf>
    <xf numFmtId="165" fontId="30" fillId="3" borderId="0" xfId="15" applyNumberFormat="1" applyFont="1" applyFill="1" applyAlignment="1">
      <alignment/>
    </xf>
    <xf numFmtId="164" fontId="20" fillId="3" borderId="0" xfId="15" applyNumberFormat="1" applyFont="1" applyFill="1" applyAlignment="1">
      <alignment horizontal="center"/>
    </xf>
    <xf numFmtId="165" fontId="43" fillId="3" borderId="0" xfId="15" applyNumberFormat="1" applyFont="1" applyFill="1" applyAlignment="1">
      <alignment/>
    </xf>
    <xf numFmtId="165" fontId="10" fillId="3" borderId="0" xfId="15" applyNumberFormat="1" applyFont="1" applyFill="1" applyAlignment="1">
      <alignment horizontal="right"/>
    </xf>
    <xf numFmtId="165" fontId="79" fillId="3" borderId="0" xfId="15" applyNumberFormat="1" applyFont="1" applyFill="1" applyAlignment="1">
      <alignment/>
    </xf>
    <xf numFmtId="10" fontId="79" fillId="3" borderId="0" xfId="21" applyNumberFormat="1" applyFont="1" applyFill="1" applyAlignment="1">
      <alignment/>
    </xf>
    <xf numFmtId="165" fontId="21" fillId="3" borderId="0" xfId="15" applyNumberFormat="1" applyFont="1" applyFill="1" applyAlignment="1">
      <alignment horizontal="center"/>
    </xf>
    <xf numFmtId="10" fontId="54" fillId="3" borderId="0" xfId="21" applyNumberFormat="1" applyFont="1" applyFill="1" applyAlignment="1">
      <alignment/>
    </xf>
    <xf numFmtId="43" fontId="10" fillId="3" borderId="0" xfId="0" applyNumberFormat="1" applyFont="1" applyFill="1" applyAlignment="1">
      <alignment/>
    </xf>
    <xf numFmtId="0" fontId="10" fillId="3" borderId="0" xfId="0" applyFont="1" applyFill="1" applyBorder="1" applyAlignment="1">
      <alignment/>
    </xf>
    <xf numFmtId="165" fontId="10" fillId="3" borderId="0" xfId="0" applyNumberFormat="1" applyFont="1" applyFill="1" applyAlignment="1">
      <alignment horizontal="right"/>
    </xf>
    <xf numFmtId="165" fontId="10" fillId="3" borderId="0" xfId="0" applyNumberFormat="1" applyFont="1" applyFill="1" applyAlignment="1">
      <alignment/>
    </xf>
    <xf numFmtId="0" fontId="10" fillId="3" borderId="0" xfId="0" applyFont="1" applyFill="1" applyBorder="1" applyAlignment="1">
      <alignment/>
    </xf>
    <xf numFmtId="0" fontId="10" fillId="3" borderId="0" xfId="0" applyFont="1" applyFill="1" applyAlignment="1">
      <alignment horizontal="right"/>
    </xf>
    <xf numFmtId="165" fontId="80" fillId="3" borderId="6" xfId="0" applyNumberFormat="1" applyFont="1" applyFill="1" applyBorder="1" applyAlignment="1">
      <alignment/>
    </xf>
    <xf numFmtId="9" fontId="80" fillId="3" borderId="10" xfId="21" applyNumberFormat="1" applyFont="1" applyFill="1" applyBorder="1" applyAlignment="1">
      <alignment/>
    </xf>
    <xf numFmtId="9" fontId="80" fillId="3" borderId="0" xfId="21" applyNumberFormat="1" applyFont="1" applyFill="1" applyBorder="1" applyAlignment="1">
      <alignment/>
    </xf>
    <xf numFmtId="0" fontId="20" fillId="3" borderId="0" xfId="0" applyFont="1" applyFill="1" applyAlignment="1">
      <alignment horizontal="center"/>
    </xf>
    <xf numFmtId="43" fontId="18" fillId="3" borderId="0" xfId="0" applyNumberFormat="1" applyFont="1" applyFill="1" applyAlignment="1">
      <alignment/>
    </xf>
    <xf numFmtId="0" fontId="10" fillId="3" borderId="0" xfId="0" applyFont="1" applyFill="1" applyAlignment="1">
      <alignment horizontal="right"/>
    </xf>
    <xf numFmtId="165" fontId="0" fillId="3" borderId="0" xfId="0" applyNumberFormat="1" applyFill="1" applyBorder="1" applyAlignment="1">
      <alignment/>
    </xf>
    <xf numFmtId="0" fontId="36" fillId="3" borderId="0" xfId="0" applyFont="1" applyFill="1" applyBorder="1" applyAlignment="1">
      <alignment/>
    </xf>
    <xf numFmtId="0" fontId="36" fillId="3" borderId="0" xfId="0" applyFont="1" applyFill="1" applyAlignment="1">
      <alignment/>
    </xf>
    <xf numFmtId="0" fontId="10" fillId="3" borderId="0" xfId="0" applyFont="1" applyFill="1" applyAlignment="1">
      <alignment/>
    </xf>
    <xf numFmtId="165" fontId="36" fillId="3" borderId="0" xfId="0" applyNumberFormat="1" applyFont="1" applyFill="1" applyAlignment="1">
      <alignment/>
    </xf>
    <xf numFmtId="165" fontId="27" fillId="3" borderId="0" xfId="15" applyNumberFormat="1" applyFont="1" applyFill="1" applyAlignment="1">
      <alignment/>
    </xf>
    <xf numFmtId="0" fontId="78" fillId="3" borderId="1" xfId="0" applyFont="1" applyFill="1" applyBorder="1" applyAlignment="1">
      <alignment horizontal="centerContinuous"/>
    </xf>
    <xf numFmtId="0" fontId="78" fillId="3" borderId="2" xfId="0" applyFont="1" applyFill="1" applyBorder="1" applyAlignment="1">
      <alignment horizontal="centerContinuous"/>
    </xf>
    <xf numFmtId="0" fontId="35" fillId="3" borderId="2" xfId="0" applyFont="1" applyFill="1" applyBorder="1" applyAlignment="1">
      <alignment horizontal="center"/>
    </xf>
    <xf numFmtId="0" fontId="57" fillId="3" borderId="17" xfId="0" applyFont="1" applyFill="1" applyBorder="1" applyAlignment="1">
      <alignment/>
    </xf>
    <xf numFmtId="0" fontId="57" fillId="3" borderId="18" xfId="0" applyFont="1" applyFill="1" applyBorder="1" applyAlignment="1">
      <alignment/>
    </xf>
    <xf numFmtId="0" fontId="78" fillId="3" borderId="17" xfId="0" applyFont="1" applyFill="1" applyBorder="1" applyAlignment="1">
      <alignment/>
    </xf>
    <xf numFmtId="0" fontId="78" fillId="3" borderId="18" xfId="0" applyFont="1" applyFill="1" applyBorder="1" applyAlignment="1">
      <alignment/>
    </xf>
    <xf numFmtId="0" fontId="40" fillId="3" borderId="18" xfId="0" applyFont="1" applyFill="1" applyBorder="1" applyAlignment="1">
      <alignment/>
    </xf>
    <xf numFmtId="1" fontId="10" fillId="3" borderId="48" xfId="0" applyNumberFormat="1" applyFont="1" applyFill="1" applyBorder="1" applyAlignment="1">
      <alignment/>
    </xf>
    <xf numFmtId="1" fontId="10" fillId="3" borderId="49" xfId="0" applyNumberFormat="1" applyFont="1" applyFill="1" applyBorder="1" applyAlignment="1">
      <alignment/>
    </xf>
    <xf numFmtId="1" fontId="10" fillId="3" borderId="0" xfId="0" applyNumberFormat="1" applyFont="1" applyFill="1" applyBorder="1" applyAlignment="1">
      <alignment/>
    </xf>
    <xf numFmtId="1" fontId="36" fillId="3" borderId="0" xfId="0" applyNumberFormat="1" applyFont="1" applyFill="1" applyAlignment="1">
      <alignment/>
    </xf>
    <xf numFmtId="165" fontId="18" fillId="3" borderId="0" xfId="15" applyNumberFormat="1" applyFont="1" applyFill="1" applyBorder="1" applyAlignment="1">
      <alignment/>
    </xf>
    <xf numFmtId="1" fontId="10" fillId="3" borderId="51" xfId="0" applyNumberFormat="1" applyFont="1" applyFill="1" applyBorder="1" applyAlignment="1">
      <alignment/>
    </xf>
    <xf numFmtId="1" fontId="10" fillId="3" borderId="13" xfId="0" applyNumberFormat="1" applyFont="1" applyFill="1" applyBorder="1" applyAlignment="1">
      <alignment/>
    </xf>
    <xf numFmtId="9" fontId="10" fillId="3" borderId="13" xfId="21" applyFont="1" applyFill="1" applyBorder="1" applyAlignment="1">
      <alignment/>
    </xf>
    <xf numFmtId="1" fontId="10" fillId="3" borderId="52" xfId="0" applyNumberFormat="1" applyFont="1" applyFill="1" applyBorder="1" applyAlignment="1">
      <alignment/>
    </xf>
    <xf numFmtId="1" fontId="36" fillId="3" borderId="51" xfId="0" applyNumberFormat="1" applyFont="1" applyFill="1" applyBorder="1" applyAlignment="1">
      <alignment/>
    </xf>
    <xf numFmtId="1" fontId="18" fillId="3" borderId="51" xfId="0" applyNumberFormat="1" applyFont="1" applyFill="1" applyBorder="1" applyAlignment="1">
      <alignment/>
    </xf>
    <xf numFmtId="10" fontId="20" fillId="3" borderId="13" xfId="21" applyNumberFormat="1" applyFont="1" applyFill="1" applyBorder="1" applyAlignment="1">
      <alignment horizontal="center"/>
    </xf>
    <xf numFmtId="1" fontId="18" fillId="3" borderId="13" xfId="0" applyNumberFormat="1" applyFont="1" applyFill="1" applyBorder="1" applyAlignment="1">
      <alignment/>
    </xf>
    <xf numFmtId="165" fontId="18" fillId="3" borderId="13" xfId="15" applyNumberFormat="1" applyFont="1" applyFill="1" applyBorder="1" applyAlignment="1">
      <alignment/>
    </xf>
    <xf numFmtId="1" fontId="36" fillId="3" borderId="46" xfId="0" applyNumberFormat="1" applyFont="1" applyFill="1" applyBorder="1" applyAlignment="1">
      <alignment/>
    </xf>
    <xf numFmtId="1" fontId="36" fillId="3" borderId="16" xfId="0" applyNumberFormat="1" applyFont="1" applyFill="1" applyBorder="1" applyAlignment="1">
      <alignment/>
    </xf>
    <xf numFmtId="1" fontId="20" fillId="3" borderId="16" xfId="0" applyNumberFormat="1" applyFont="1" applyFill="1" applyBorder="1" applyAlignment="1">
      <alignment horizontal="center"/>
    </xf>
    <xf numFmtId="0" fontId="18" fillId="3" borderId="16" xfId="0" applyFont="1" applyFill="1" applyBorder="1" applyAlignment="1">
      <alignment/>
    </xf>
    <xf numFmtId="1" fontId="36" fillId="3" borderId="48" xfId="0" applyNumberFormat="1" applyFont="1" applyFill="1" applyBorder="1" applyAlignment="1">
      <alignment/>
    </xf>
    <xf numFmtId="1" fontId="36" fillId="3" borderId="0" xfId="0" applyNumberFormat="1" applyFont="1" applyFill="1" applyBorder="1" applyAlignment="1">
      <alignment/>
    </xf>
    <xf numFmtId="1" fontId="20" fillId="3" borderId="0" xfId="0" applyNumberFormat="1" applyFont="1" applyFill="1" applyBorder="1" applyAlignment="1">
      <alignment horizontal="center"/>
    </xf>
    <xf numFmtId="0" fontId="37" fillId="3" borderId="0" xfId="0" applyFont="1" applyFill="1" applyBorder="1" applyAlignment="1">
      <alignment/>
    </xf>
    <xf numFmtId="165" fontId="24" fillId="3" borderId="0" xfId="15" applyNumberFormat="1" applyFont="1" applyFill="1" applyBorder="1" applyAlignment="1">
      <alignment/>
    </xf>
    <xf numFmtId="165" fontId="22" fillId="3" borderId="0" xfId="15" applyNumberFormat="1" applyFont="1" applyFill="1" applyBorder="1" applyAlignment="1">
      <alignment horizontal="center"/>
    </xf>
    <xf numFmtId="165" fontId="75" fillId="3" borderId="0" xfId="15" applyNumberFormat="1" applyFont="1" applyFill="1" applyBorder="1" applyAlignment="1">
      <alignment/>
    </xf>
    <xf numFmtId="165" fontId="27" fillId="3" borderId="0" xfId="15" applyNumberFormat="1" applyFont="1" applyFill="1" applyBorder="1" applyAlignment="1">
      <alignment/>
    </xf>
    <xf numFmtId="0" fontId="35" fillId="3" borderId="0" xfId="0" applyFont="1" applyFill="1" applyBorder="1" applyAlignment="1">
      <alignment horizontal="center"/>
    </xf>
    <xf numFmtId="203" fontId="35" fillId="3" borderId="27" xfId="0" applyNumberFormat="1" applyFont="1" applyFill="1" applyBorder="1" applyAlignment="1">
      <alignment horizontal="center"/>
    </xf>
    <xf numFmtId="9" fontId="74" fillId="3" borderId="27" xfId="21" applyFont="1" applyFill="1" applyBorder="1" applyAlignment="1">
      <alignment horizontal="center"/>
    </xf>
    <xf numFmtId="203" fontId="35" fillId="3" borderId="0" xfId="0" applyNumberFormat="1" applyFont="1" applyFill="1" applyBorder="1" applyAlignment="1">
      <alignment horizontal="center"/>
    </xf>
    <xf numFmtId="9" fontId="74" fillId="3" borderId="0" xfId="21" applyFont="1" applyFill="1" applyBorder="1" applyAlignment="1">
      <alignment horizontal="center"/>
    </xf>
    <xf numFmtId="0" fontId="7" fillId="3" borderId="17" xfId="0" applyFont="1" applyFill="1" applyBorder="1" applyAlignment="1">
      <alignment wrapText="1"/>
    </xf>
    <xf numFmtId="0" fontId="19" fillId="3" borderId="6" xfId="0" applyFont="1" applyFill="1" applyBorder="1" applyAlignment="1">
      <alignment/>
    </xf>
    <xf numFmtId="0" fontId="18" fillId="3" borderId="7" xfId="0" applyFont="1" applyFill="1" applyBorder="1" applyAlignment="1">
      <alignment/>
    </xf>
    <xf numFmtId="0" fontId="19" fillId="3" borderId="35" xfId="0" applyFont="1" applyFill="1" applyBorder="1" applyAlignment="1">
      <alignment vertical="top"/>
    </xf>
    <xf numFmtId="0" fontId="19" fillId="3" borderId="0" xfId="0" applyFont="1" applyFill="1" applyBorder="1" applyAlignment="1">
      <alignment/>
    </xf>
    <xf numFmtId="0" fontId="2" fillId="3" borderId="0" xfId="0" applyFont="1" applyFill="1" applyBorder="1" applyAlignment="1">
      <alignment/>
    </xf>
    <xf numFmtId="3" fontId="19" fillId="3" borderId="48" xfId="0" applyNumberFormat="1" applyFont="1" applyFill="1" applyBorder="1" applyAlignment="1">
      <alignment/>
    </xf>
    <xf numFmtId="3" fontId="36" fillId="3" borderId="0" xfId="15" applyNumberFormat="1" applyFont="1" applyFill="1" applyAlignment="1">
      <alignment/>
    </xf>
    <xf numFmtId="0" fontId="18" fillId="3" borderId="11" xfId="0" applyFont="1" applyFill="1" applyBorder="1" applyAlignment="1">
      <alignment/>
    </xf>
    <xf numFmtId="0" fontId="18" fillId="3" borderId="12" xfId="0" applyFont="1" applyFill="1" applyBorder="1" applyAlignment="1">
      <alignment horizontal="left" vertical="top" wrapText="1"/>
    </xf>
    <xf numFmtId="3" fontId="18" fillId="3" borderId="48" xfId="0" applyNumberFormat="1" applyFont="1" applyFill="1" applyBorder="1" applyAlignment="1">
      <alignment/>
    </xf>
    <xf numFmtId="3" fontId="18" fillId="3" borderId="0" xfId="0" applyNumberFormat="1" applyFont="1" applyFill="1" applyBorder="1" applyAlignment="1">
      <alignment/>
    </xf>
    <xf numFmtId="3" fontId="18" fillId="3" borderId="0" xfId="15" applyNumberFormat="1" applyFont="1" applyFill="1" applyAlignment="1">
      <alignment/>
    </xf>
    <xf numFmtId="3" fontId="18" fillId="3" borderId="0" xfId="0" applyNumberFormat="1" applyFont="1" applyFill="1" applyAlignment="1">
      <alignment/>
    </xf>
    <xf numFmtId="203" fontId="27" fillId="3" borderId="0" xfId="0" applyNumberFormat="1" applyFont="1" applyFill="1" applyBorder="1" applyAlignment="1">
      <alignment/>
    </xf>
    <xf numFmtId="0" fontId="19" fillId="3" borderId="11" xfId="0" applyFont="1" applyFill="1" applyBorder="1" applyAlignment="1">
      <alignment vertical="top"/>
    </xf>
    <xf numFmtId="0" fontId="19" fillId="3" borderId="35" xfId="0" applyFont="1" applyFill="1" applyBorder="1" applyAlignment="1">
      <alignment/>
    </xf>
    <xf numFmtId="0" fontId="19" fillId="3" borderId="13" xfId="0" applyFont="1" applyFill="1" applyBorder="1" applyAlignment="1">
      <alignment horizontal="left" vertical="top" wrapText="1"/>
    </xf>
    <xf numFmtId="3" fontId="19" fillId="3" borderId="51" xfId="0" applyNumberFormat="1" applyFont="1" applyFill="1" applyBorder="1" applyAlignment="1">
      <alignment/>
    </xf>
    <xf numFmtId="0" fontId="19" fillId="3" borderId="15" xfId="0" applyFont="1" applyFill="1" applyBorder="1" applyAlignment="1">
      <alignment horizontal="left" vertical="top"/>
    </xf>
    <xf numFmtId="0" fontId="10" fillId="3" borderId="16" xfId="0" applyFont="1" applyFill="1" applyBorder="1" applyAlignment="1">
      <alignment/>
    </xf>
    <xf numFmtId="3" fontId="19" fillId="3" borderId="46" xfId="0" applyNumberFormat="1" applyFont="1" applyFill="1" applyBorder="1" applyAlignment="1">
      <alignment/>
    </xf>
    <xf numFmtId="0" fontId="19" fillId="3" borderId="1" xfId="0" applyFont="1" applyFill="1" applyBorder="1" applyAlignment="1">
      <alignment horizontal="centerContinuous"/>
    </xf>
    <xf numFmtId="0" fontId="19" fillId="3" borderId="2" xfId="0" applyFont="1" applyFill="1" applyBorder="1" applyAlignment="1">
      <alignment horizontal="center"/>
    </xf>
    <xf numFmtId="9" fontId="19" fillId="3" borderId="2" xfId="21" applyFont="1" applyFill="1" applyBorder="1" applyAlignment="1">
      <alignment horizontal="centerContinuous"/>
    </xf>
    <xf numFmtId="0" fontId="19" fillId="3" borderId="0" xfId="0" applyFont="1" applyFill="1" applyBorder="1" applyAlignment="1" quotePrefix="1">
      <alignment horizontal="center"/>
    </xf>
    <xf numFmtId="9" fontId="19" fillId="3" borderId="0" xfId="21" applyFont="1" applyFill="1" applyBorder="1" applyAlignment="1">
      <alignment horizontal="center"/>
    </xf>
    <xf numFmtId="0" fontId="78" fillId="3" borderId="24" xfId="0" applyFont="1" applyFill="1" applyBorder="1" applyAlignment="1">
      <alignment wrapText="1"/>
    </xf>
    <xf numFmtId="0" fontId="40" fillId="3" borderId="24" xfId="0" applyFont="1" applyFill="1" applyBorder="1" applyAlignment="1">
      <alignment wrapText="1"/>
    </xf>
    <xf numFmtId="0" fontId="40" fillId="3" borderId="0" xfId="0" applyFont="1" applyFill="1" applyBorder="1" applyAlignment="1">
      <alignment horizontal="centerContinuous" wrapText="1"/>
    </xf>
    <xf numFmtId="0" fontId="18" fillId="3" borderId="0" xfId="0" applyFont="1" applyFill="1" applyBorder="1" applyAlignment="1">
      <alignment horizontal="centerContinuous" wrapText="1"/>
    </xf>
    <xf numFmtId="0" fontId="30" fillId="3" borderId="16" xfId="0" applyFont="1" applyFill="1" applyBorder="1" applyAlignment="1">
      <alignment horizontal="left"/>
    </xf>
    <xf numFmtId="0" fontId="10" fillId="3" borderId="0" xfId="0" applyFont="1" applyFill="1" applyAlignment="1">
      <alignment horizontal="left"/>
    </xf>
    <xf numFmtId="0" fontId="30" fillId="3" borderId="46" xfId="0" applyFont="1" applyFill="1" applyBorder="1" applyAlignment="1">
      <alignment horizontal="left"/>
    </xf>
    <xf numFmtId="9" fontId="2" fillId="3" borderId="16" xfId="21" applyFont="1" applyFill="1" applyBorder="1" applyAlignment="1">
      <alignment horizontal="left" wrapText="1"/>
    </xf>
    <xf numFmtId="165" fontId="2" fillId="3" borderId="47" xfId="15" applyNumberFormat="1" applyFont="1" applyFill="1" applyBorder="1" applyAlignment="1">
      <alignment horizontal="left" wrapText="1"/>
    </xf>
    <xf numFmtId="165" fontId="2" fillId="3" borderId="16" xfId="15" applyNumberFormat="1" applyFont="1" applyFill="1" applyBorder="1" applyAlignment="1">
      <alignment horizontal="left" wrapText="1"/>
    </xf>
    <xf numFmtId="0" fontId="36" fillId="3" borderId="16" xfId="0" applyFont="1" applyFill="1" applyBorder="1" applyAlignment="1">
      <alignment horizontal="left"/>
    </xf>
    <xf numFmtId="0" fontId="19" fillId="3" borderId="16" xfId="0" applyFont="1" applyFill="1" applyBorder="1" applyAlignment="1">
      <alignment horizontal="left"/>
    </xf>
    <xf numFmtId="0" fontId="20" fillId="3" borderId="16" xfId="0" applyFont="1" applyFill="1" applyBorder="1" applyAlignment="1">
      <alignment horizontal="left"/>
    </xf>
    <xf numFmtId="9" fontId="19" fillId="3" borderId="16" xfId="21" applyFont="1" applyFill="1" applyBorder="1" applyAlignment="1">
      <alignment/>
    </xf>
    <xf numFmtId="203" fontId="20" fillId="3" borderId="0" xfId="0" applyNumberFormat="1" applyFont="1" applyFill="1" applyBorder="1" applyAlignment="1">
      <alignment/>
    </xf>
    <xf numFmtId="203" fontId="35" fillId="3" borderId="0" xfId="0" applyNumberFormat="1" applyFont="1" applyFill="1" applyBorder="1" applyAlignment="1">
      <alignment/>
    </xf>
    <xf numFmtId="203" fontId="20" fillId="3" borderId="27" xfId="0" applyNumberFormat="1" applyFont="1" applyFill="1" applyBorder="1" applyAlignment="1">
      <alignment/>
    </xf>
    <xf numFmtId="9" fontId="72" fillId="3" borderId="27" xfId="21" applyNumberFormat="1" applyFont="1" applyFill="1" applyBorder="1" applyAlignment="1">
      <alignment horizontal="center"/>
    </xf>
    <xf numFmtId="9" fontId="72" fillId="3" borderId="0" xfId="21" applyNumberFormat="1" applyFont="1" applyFill="1" applyBorder="1" applyAlignment="1">
      <alignment horizontal="center"/>
    </xf>
    <xf numFmtId="9" fontId="54" fillId="3" borderId="0" xfId="21" applyFont="1" applyFill="1" applyAlignment="1">
      <alignment/>
    </xf>
    <xf numFmtId="9" fontId="40" fillId="3" borderId="2" xfId="21" applyFont="1" applyFill="1" applyBorder="1" applyAlignment="1">
      <alignment horizontal="centerContinuous"/>
    </xf>
    <xf numFmtId="9" fontId="18" fillId="3" borderId="13" xfId="21" applyFont="1" applyFill="1" applyBorder="1" applyAlignment="1">
      <alignment/>
    </xf>
    <xf numFmtId="9" fontId="18" fillId="3" borderId="16" xfId="21" applyFont="1" applyFill="1" applyBorder="1" applyAlignment="1">
      <alignment/>
    </xf>
    <xf numFmtId="9" fontId="37" fillId="3" borderId="0" xfId="21" applyFont="1" applyFill="1" applyBorder="1" applyAlignment="1">
      <alignment/>
    </xf>
    <xf numFmtId="44" fontId="0" fillId="3" borderId="0" xfId="17" applyFill="1" applyAlignment="1">
      <alignment/>
    </xf>
    <xf numFmtId="44" fontId="0" fillId="3" borderId="0" xfId="17" applyFont="1" applyFill="1" applyAlignment="1">
      <alignment/>
    </xf>
    <xf numFmtId="164" fontId="0" fillId="3" borderId="0" xfId="15" applyNumberFormat="1" applyFill="1" applyAlignment="1">
      <alignment/>
    </xf>
    <xf numFmtId="164" fontId="0" fillId="3" borderId="0" xfId="15" applyNumberFormat="1" applyFill="1" applyAlignment="1">
      <alignment/>
    </xf>
    <xf numFmtId="0" fontId="27" fillId="3" borderId="0" xfId="0" applyFont="1" applyFill="1" applyAlignment="1">
      <alignment/>
    </xf>
    <xf numFmtId="0" fontId="27" fillId="3" borderId="0" xfId="0" applyFont="1" applyFill="1" applyBorder="1" applyAlignment="1">
      <alignment horizontal="centerContinuous"/>
    </xf>
    <xf numFmtId="0" fontId="27" fillId="3" borderId="1" xfId="0" applyFont="1" applyFill="1" applyBorder="1" applyAlignment="1">
      <alignment/>
    </xf>
    <xf numFmtId="0" fontId="27" fillId="3" borderId="2" xfId="0" applyFont="1" applyFill="1" applyBorder="1" applyAlignment="1">
      <alignment horizontal="centerContinuous"/>
    </xf>
    <xf numFmtId="0" fontId="35" fillId="3" borderId="2" xfId="0" applyFont="1" applyFill="1" applyBorder="1" applyAlignment="1">
      <alignment horizontal="centerContinuous" vertical="center"/>
    </xf>
    <xf numFmtId="0" fontId="27" fillId="3" borderId="2" xfId="0" applyFont="1" applyFill="1" applyBorder="1" applyAlignment="1">
      <alignment/>
    </xf>
    <xf numFmtId="0" fontId="27" fillId="3" borderId="3" xfId="0" applyFont="1" applyFill="1" applyBorder="1" applyAlignment="1">
      <alignment/>
    </xf>
    <xf numFmtId="0" fontId="36" fillId="3" borderId="0" xfId="0" applyFont="1" applyFill="1" applyBorder="1" applyAlignment="1">
      <alignment vertical="center"/>
    </xf>
    <xf numFmtId="0" fontId="36" fillId="3" borderId="4" xfId="0" applyFont="1" applyFill="1" applyBorder="1" applyAlignment="1">
      <alignment/>
    </xf>
    <xf numFmtId="0" fontId="3" fillId="3" borderId="0" xfId="0" applyFont="1" applyFill="1" applyBorder="1" applyAlignment="1">
      <alignment/>
    </xf>
    <xf numFmtId="0" fontId="36" fillId="3" borderId="5" xfId="0" applyFont="1" applyFill="1" applyBorder="1" applyAlignment="1">
      <alignment/>
    </xf>
    <xf numFmtId="0" fontId="36" fillId="3" borderId="4" xfId="0" applyFont="1" applyFill="1" applyBorder="1" applyAlignment="1">
      <alignment vertical="center"/>
    </xf>
    <xf numFmtId="0" fontId="36" fillId="3" borderId="32" xfId="0" applyFont="1" applyFill="1" applyBorder="1" applyAlignment="1">
      <alignment horizontal="centerContinuous"/>
    </xf>
    <xf numFmtId="0" fontId="36" fillId="3" borderId="43" xfId="0" applyFont="1" applyFill="1" applyBorder="1" applyAlignment="1">
      <alignment horizontal="centerContinuous"/>
    </xf>
    <xf numFmtId="0" fontId="36" fillId="3" borderId="42" xfId="0" applyFont="1" applyFill="1" applyBorder="1" applyAlignment="1">
      <alignment horizontal="centerContinuous"/>
    </xf>
    <xf numFmtId="0" fontId="36" fillId="3" borderId="42" xfId="0" applyFont="1" applyFill="1" applyBorder="1" applyAlignment="1">
      <alignment/>
    </xf>
    <xf numFmtId="197" fontId="36" fillId="3" borderId="0" xfId="0" applyNumberFormat="1" applyFont="1" applyFill="1" applyAlignment="1">
      <alignment horizontal="center" vertical="center" wrapText="1"/>
    </xf>
    <xf numFmtId="197" fontId="36" fillId="3" borderId="0" xfId="0" applyNumberFormat="1" applyFont="1" applyFill="1" applyAlignment="1">
      <alignment horizontal="center" wrapText="1"/>
    </xf>
    <xf numFmtId="197" fontId="36" fillId="3" borderId="31" xfId="0" applyNumberFormat="1" applyFont="1" applyFill="1" applyBorder="1" applyAlignment="1">
      <alignment horizontal="center" wrapText="1"/>
    </xf>
    <xf numFmtId="197" fontId="36" fillId="3" borderId="32" xfId="0" applyNumberFormat="1" applyFont="1" applyFill="1" applyBorder="1" applyAlignment="1">
      <alignment horizontal="center" wrapText="1"/>
    </xf>
    <xf numFmtId="197" fontId="3" fillId="3" borderId="31" xfId="0" applyNumberFormat="1" applyFont="1" applyFill="1" applyBorder="1" applyAlignment="1">
      <alignment horizontal="center" wrapText="1"/>
    </xf>
    <xf numFmtId="197" fontId="36" fillId="3" borderId="24" xfId="0" applyNumberFormat="1" applyFont="1" applyFill="1" applyBorder="1" applyAlignment="1">
      <alignment horizontal="center" wrapText="1"/>
    </xf>
    <xf numFmtId="197" fontId="36" fillId="3" borderId="17" xfId="0" applyNumberFormat="1" applyFont="1" applyFill="1" applyBorder="1" applyAlignment="1">
      <alignment horizontal="center" wrapText="1"/>
    </xf>
    <xf numFmtId="197" fontId="36" fillId="3" borderId="0" xfId="0" applyNumberFormat="1" applyFont="1" applyFill="1" applyBorder="1" applyAlignment="1">
      <alignment horizontal="center" wrapText="1"/>
    </xf>
    <xf numFmtId="0" fontId="0" fillId="3" borderId="0" xfId="0" applyFont="1" applyFill="1" applyAlignment="1">
      <alignment vertical="center"/>
    </xf>
    <xf numFmtId="0" fontId="3" fillId="3" borderId="4" xfId="0" applyFont="1" applyFill="1" applyBorder="1" applyAlignment="1">
      <alignment vertical="center"/>
    </xf>
    <xf numFmtId="0" fontId="0" fillId="3" borderId="53" xfId="0" applyFont="1" applyFill="1" applyBorder="1" applyAlignment="1">
      <alignment/>
    </xf>
    <xf numFmtId="0" fontId="0" fillId="3" borderId="54" xfId="0" applyFont="1" applyFill="1" applyBorder="1" applyAlignment="1">
      <alignment/>
    </xf>
    <xf numFmtId="0" fontId="0" fillId="3" borderId="55" xfId="0" applyFont="1" applyFill="1" applyBorder="1" applyAlignment="1">
      <alignment/>
    </xf>
    <xf numFmtId="0" fontId="0" fillId="3" borderId="56" xfId="0" applyFont="1" applyFill="1" applyBorder="1" applyAlignment="1">
      <alignment/>
    </xf>
    <xf numFmtId="0" fontId="0" fillId="3" borderId="57" xfId="0" applyFont="1" applyFill="1" applyBorder="1" applyAlignment="1">
      <alignment/>
    </xf>
    <xf numFmtId="0" fontId="0" fillId="3" borderId="58" xfId="0" applyFont="1" applyFill="1" applyBorder="1" applyAlignment="1">
      <alignment/>
    </xf>
    <xf numFmtId="0" fontId="0" fillId="3" borderId="5" xfId="0" applyFont="1" applyFill="1" applyBorder="1" applyAlignment="1">
      <alignment/>
    </xf>
    <xf numFmtId="0" fontId="2" fillId="3" borderId="0" xfId="0" applyFont="1" applyFill="1" applyBorder="1" applyAlignment="1">
      <alignment vertical="center"/>
    </xf>
    <xf numFmtId="0" fontId="3" fillId="3" borderId="4" xfId="0" applyFont="1" applyFill="1" applyBorder="1" applyAlignment="1">
      <alignment horizontal="right" vertical="center"/>
    </xf>
    <xf numFmtId="0" fontId="2" fillId="3" borderId="59" xfId="0" applyFont="1" applyFill="1" applyBorder="1" applyAlignment="1">
      <alignment horizontal="left" vertical="center"/>
    </xf>
    <xf numFmtId="0" fontId="2" fillId="3" borderId="55" xfId="0" applyFont="1" applyFill="1" applyBorder="1" applyAlignment="1">
      <alignment vertical="center"/>
    </xf>
    <xf numFmtId="0" fontId="2" fillId="3" borderId="55" xfId="0" applyFont="1" applyFill="1" applyBorder="1" applyAlignment="1">
      <alignment/>
    </xf>
    <xf numFmtId="0" fontId="2" fillId="3" borderId="60" xfId="0" applyFont="1" applyFill="1" applyBorder="1" applyAlignment="1">
      <alignment/>
    </xf>
    <xf numFmtId="0" fontId="2" fillId="3" borderId="61" xfId="0" applyFont="1" applyFill="1" applyBorder="1" applyAlignment="1">
      <alignment/>
    </xf>
    <xf numFmtId="0" fontId="2" fillId="3" borderId="62" xfId="0" applyFont="1" applyFill="1" applyBorder="1" applyAlignment="1">
      <alignment/>
    </xf>
    <xf numFmtId="0" fontId="0" fillId="3" borderId="62" xfId="0" applyFont="1" applyFill="1" applyBorder="1" applyAlignment="1">
      <alignment/>
    </xf>
    <xf numFmtId="0" fontId="2" fillId="3" borderId="55" xfId="0" applyFont="1" applyFill="1" applyBorder="1" applyAlignment="1">
      <alignment horizontal="right" vertical="center"/>
    </xf>
    <xf numFmtId="0" fontId="2" fillId="3" borderId="59" xfId="0" applyFont="1" applyFill="1" applyBorder="1" applyAlignment="1">
      <alignment vertical="center"/>
    </xf>
    <xf numFmtId="0" fontId="2" fillId="3" borderId="60" xfId="0" applyFont="1" applyFill="1" applyBorder="1" applyAlignment="1">
      <alignment vertical="center"/>
    </xf>
    <xf numFmtId="0" fontId="2" fillId="3" borderId="59" xfId="0" applyFont="1" applyFill="1" applyBorder="1" applyAlignment="1">
      <alignment/>
    </xf>
    <xf numFmtId="0" fontId="2" fillId="3" borderId="55" xfId="0" applyFont="1" applyFill="1" applyBorder="1" applyAlignment="1">
      <alignment horizontal="center" vertical="center"/>
    </xf>
    <xf numFmtId="0" fontId="2" fillId="3" borderId="60" xfId="0" applyFont="1" applyFill="1" applyBorder="1" applyAlignment="1">
      <alignment horizontal="center" vertical="center"/>
    </xf>
    <xf numFmtId="0" fontId="2" fillId="3" borderId="55" xfId="0" applyFont="1" applyFill="1" applyBorder="1" applyAlignment="1">
      <alignment horizontal="left" vertical="center"/>
    </xf>
    <xf numFmtId="0" fontId="2" fillId="3" borderId="61" xfId="0" applyFont="1" applyFill="1" applyBorder="1" applyAlignment="1">
      <alignment horizontal="left" vertical="top"/>
    </xf>
    <xf numFmtId="0" fontId="2" fillId="3" borderId="62" xfId="0" applyFont="1" applyFill="1" applyBorder="1" applyAlignment="1">
      <alignment horizontal="right" vertical="center"/>
    </xf>
    <xf numFmtId="0" fontId="3" fillId="3" borderId="17" xfId="0" applyFont="1" applyFill="1" applyBorder="1" applyAlignment="1">
      <alignment horizontal="right" vertical="center"/>
    </xf>
    <xf numFmtId="0" fontId="0" fillId="3" borderId="63" xfId="0" applyFont="1" applyFill="1" applyBorder="1" applyAlignment="1">
      <alignment/>
    </xf>
    <xf numFmtId="0" fontId="2" fillId="3" borderId="63" xfId="0" applyFont="1" applyFill="1" applyBorder="1" applyAlignment="1">
      <alignment/>
    </xf>
    <xf numFmtId="0" fontId="2" fillId="3" borderId="64" xfId="0" applyFont="1" applyFill="1" applyBorder="1" applyAlignment="1">
      <alignment/>
    </xf>
    <xf numFmtId="0" fontId="2" fillId="3" borderId="65" xfId="0" applyFont="1" applyFill="1" applyBorder="1" applyAlignment="1">
      <alignment horizontal="left" vertical="top"/>
    </xf>
    <xf numFmtId="0" fontId="2" fillId="3" borderId="65" xfId="0" applyFont="1" applyFill="1" applyBorder="1" applyAlignment="1">
      <alignment horizontal="center" vertical="center"/>
    </xf>
    <xf numFmtId="0" fontId="0" fillId="3" borderId="65" xfId="0" applyFont="1" applyFill="1" applyBorder="1" applyAlignment="1">
      <alignment/>
    </xf>
    <xf numFmtId="0" fontId="0" fillId="3" borderId="20" xfId="0" applyFont="1" applyFill="1" applyBorder="1" applyAlignment="1">
      <alignment/>
    </xf>
    <xf numFmtId="197" fontId="36" fillId="3" borderId="42" xfId="0" applyNumberFormat="1" applyFont="1" applyFill="1" applyBorder="1" applyAlignment="1">
      <alignment horizontal="center" wrapText="1"/>
    </xf>
    <xf numFmtId="0" fontId="10" fillId="3" borderId="0" xfId="0" applyFont="1" applyFill="1" applyBorder="1" applyAlignment="1">
      <alignment horizontal="left" vertical="center"/>
    </xf>
    <xf numFmtId="0" fontId="63" fillId="0" borderId="0" xfId="0" applyFont="1" applyFill="1" applyBorder="1" applyAlignment="1">
      <alignment horizontal="right" vertical="center"/>
    </xf>
    <xf numFmtId="0" fontId="4" fillId="0" borderId="39" xfId="0" applyFont="1" applyBorder="1" applyAlignment="1">
      <alignment/>
    </xf>
    <xf numFmtId="0" fontId="4" fillId="0" borderId="15" xfId="0" applyFont="1" applyBorder="1" applyAlignment="1">
      <alignment/>
    </xf>
    <xf numFmtId="0" fontId="4" fillId="0" borderId="36" xfId="0" applyFont="1" applyBorder="1" applyAlignment="1">
      <alignment/>
    </xf>
    <xf numFmtId="0" fontId="4" fillId="0" borderId="15" xfId="0" applyFont="1" applyBorder="1" applyAlignment="1">
      <alignment horizontal="centerContinuous"/>
    </xf>
    <xf numFmtId="0" fontId="4" fillId="0" borderId="36" xfId="0" applyFont="1" applyBorder="1" applyAlignment="1">
      <alignment horizontal="centerContinuous"/>
    </xf>
    <xf numFmtId="0" fontId="4" fillId="0" borderId="39" xfId="0" applyFont="1" applyBorder="1" applyAlignment="1">
      <alignment horizontal="centerContinuous"/>
    </xf>
    <xf numFmtId="0" fontId="10" fillId="0" borderId="66" xfId="0" applyFont="1" applyFill="1" applyBorder="1" applyAlignment="1">
      <alignment horizontal="centerContinuous"/>
    </xf>
    <xf numFmtId="0" fontId="10" fillId="0" borderId="67" xfId="0" applyFont="1" applyFill="1" applyBorder="1" applyAlignment="1">
      <alignment horizontal="centerContinuous"/>
    </xf>
    <xf numFmtId="0" fontId="10" fillId="0" borderId="1" xfId="0" applyFont="1" applyFill="1" applyBorder="1" applyAlignment="1">
      <alignment horizontal="centerContinuous"/>
    </xf>
    <xf numFmtId="0" fontId="10" fillId="0" borderId="2" xfId="0" applyFont="1" applyFill="1" applyBorder="1" applyAlignment="1">
      <alignment horizontal="centerContinuous"/>
    </xf>
    <xf numFmtId="0" fontId="10" fillId="0" borderId="68" xfId="0" applyFont="1" applyFill="1" applyBorder="1" applyAlignment="1">
      <alignment horizontal="centerContinuous"/>
    </xf>
    <xf numFmtId="0" fontId="10" fillId="0" borderId="69" xfId="0" applyFont="1" applyFill="1" applyBorder="1" applyAlignment="1">
      <alignment horizontal="centerContinuous"/>
    </xf>
    <xf numFmtId="0" fontId="10" fillId="0" borderId="2" xfId="0" applyFont="1" applyBorder="1" applyAlignment="1">
      <alignment horizontal="centerContinuous"/>
    </xf>
    <xf numFmtId="0" fontId="10" fillId="0" borderId="68" xfId="0" applyFont="1" applyBorder="1" applyAlignment="1">
      <alignment horizontal="centerContinuous"/>
    </xf>
    <xf numFmtId="0" fontId="10" fillId="0" borderId="69" xfId="0" applyFont="1" applyBorder="1" applyAlignment="1">
      <alignment horizontal="centerContinuous"/>
    </xf>
    <xf numFmtId="0" fontId="4" fillId="0" borderId="4" xfId="0" applyFont="1" applyBorder="1" applyAlignment="1">
      <alignment vertical="center"/>
    </xf>
    <xf numFmtId="0" fontId="4" fillId="0" borderId="5" xfId="0" applyFont="1" applyBorder="1" applyAlignment="1">
      <alignment vertical="center"/>
    </xf>
    <xf numFmtId="0" fontId="10" fillId="0" borderId="4" xfId="0" applyFont="1" applyBorder="1" applyAlignment="1">
      <alignment horizontal="right" vertical="center"/>
    </xf>
    <xf numFmtId="0" fontId="10" fillId="0" borderId="5" xfId="0" applyFont="1" applyBorder="1" applyAlignment="1">
      <alignment vertical="center"/>
    </xf>
    <xf numFmtId="0" fontId="0" fillId="0" borderId="4" xfId="0" applyFont="1" applyBorder="1" applyAlignment="1">
      <alignment horizontal="center" vertical="center"/>
    </xf>
    <xf numFmtId="0" fontId="10" fillId="0" borderId="5" xfId="0" applyFont="1" applyBorder="1" applyAlignment="1">
      <alignment horizontal="center" vertical="center"/>
    </xf>
    <xf numFmtId="0" fontId="0" fillId="0" borderId="4" xfId="0" applyFont="1" applyBorder="1" applyAlignment="1">
      <alignment vertical="center"/>
    </xf>
    <xf numFmtId="0" fontId="0" fillId="0" borderId="4" xfId="0" applyFont="1" applyBorder="1" applyAlignment="1">
      <alignment horizontal="right" vertical="center"/>
    </xf>
    <xf numFmtId="0" fontId="0" fillId="0" borderId="4" xfId="0" applyFont="1" applyFill="1" applyBorder="1" applyAlignment="1">
      <alignment horizontal="right" vertical="center"/>
    </xf>
    <xf numFmtId="0" fontId="4" fillId="0" borderId="17" xfId="0" applyFont="1" applyBorder="1" applyAlignment="1">
      <alignment/>
    </xf>
    <xf numFmtId="0" fontId="4" fillId="0" borderId="70" xfId="0" applyFont="1" applyFill="1" applyBorder="1" applyAlignment="1">
      <alignment/>
    </xf>
    <xf numFmtId="0" fontId="4" fillId="0" borderId="71" xfId="0" applyFont="1" applyFill="1" applyBorder="1" applyAlignment="1">
      <alignment/>
    </xf>
    <xf numFmtId="0" fontId="4" fillId="0" borderId="72" xfId="0" applyFont="1" applyBorder="1" applyAlignment="1">
      <alignment/>
    </xf>
    <xf numFmtId="0" fontId="4" fillId="0" borderId="73" xfId="0" applyFont="1" applyBorder="1" applyAlignment="1">
      <alignment/>
    </xf>
    <xf numFmtId="0" fontId="4" fillId="0" borderId="19" xfId="0" applyFont="1" applyBorder="1" applyAlignment="1">
      <alignment/>
    </xf>
    <xf numFmtId="0" fontId="10" fillId="0" borderId="17" xfId="0" applyFont="1" applyBorder="1" applyAlignment="1">
      <alignment/>
    </xf>
    <xf numFmtId="0" fontId="10" fillId="0" borderId="18" xfId="0" applyFont="1" applyBorder="1" applyAlignment="1">
      <alignment/>
    </xf>
    <xf numFmtId="0" fontId="35" fillId="0" borderId="4" xfId="0" applyFont="1" applyBorder="1" applyAlignment="1">
      <alignment horizontal="centerContinuous"/>
    </xf>
    <xf numFmtId="0" fontId="35" fillId="0" borderId="0" xfId="0" applyFont="1" applyBorder="1" applyAlignment="1">
      <alignment horizontal="centerContinuous"/>
    </xf>
    <xf numFmtId="0" fontId="20" fillId="0" borderId="0" xfId="0" applyFont="1" applyBorder="1" applyAlignment="1">
      <alignment horizontal="centerContinuous"/>
    </xf>
    <xf numFmtId="0" fontId="4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0" xfId="0" applyFont="1" applyAlignment="1">
      <alignment vertical="center"/>
    </xf>
    <xf numFmtId="0" fontId="30" fillId="0" borderId="0" xfId="0" applyFont="1" applyBorder="1" applyAlignment="1">
      <alignment vertical="center"/>
    </xf>
    <xf numFmtId="0" fontId="30" fillId="5" borderId="6" xfId="0" applyFont="1" applyFill="1" applyBorder="1" applyAlignment="1">
      <alignment vertical="center"/>
    </xf>
    <xf numFmtId="0" fontId="30" fillId="5" borderId="7" xfId="0" applyFont="1" applyFill="1" applyBorder="1" applyAlignment="1">
      <alignment vertical="center"/>
    </xf>
    <xf numFmtId="0" fontId="30" fillId="5" borderId="7" xfId="0" applyFont="1" applyFill="1" applyBorder="1" applyAlignment="1">
      <alignment/>
    </xf>
    <xf numFmtId="0" fontId="30" fillId="5" borderId="10" xfId="0" applyFont="1" applyFill="1" applyBorder="1" applyAlignment="1">
      <alignment vertical="center"/>
    </xf>
    <xf numFmtId="0" fontId="30" fillId="0" borderId="12" xfId="0" applyFont="1" applyFill="1" applyBorder="1" applyAlignment="1">
      <alignment vertical="center"/>
    </xf>
    <xf numFmtId="0" fontId="30" fillId="0" borderId="5" xfId="0" applyFont="1" applyBorder="1" applyAlignment="1">
      <alignment vertical="center"/>
    </xf>
    <xf numFmtId="0" fontId="30" fillId="0" borderId="5" xfId="0" applyFont="1" applyFill="1" applyBorder="1" applyAlignment="1">
      <alignment vertical="center"/>
    </xf>
    <xf numFmtId="0" fontId="30" fillId="0" borderId="0" xfId="0" applyFont="1" applyFill="1" applyAlignment="1">
      <alignment vertical="center"/>
    </xf>
    <xf numFmtId="0" fontId="30" fillId="4" borderId="6" xfId="0" applyFont="1" applyFill="1" applyBorder="1" applyAlignment="1">
      <alignment vertical="center"/>
    </xf>
    <xf numFmtId="0" fontId="30" fillId="4" borderId="7" xfId="0" applyFont="1" applyFill="1" applyBorder="1" applyAlignment="1">
      <alignment vertical="center"/>
    </xf>
    <xf numFmtId="0" fontId="30" fillId="4" borderId="10" xfId="0" applyFont="1" applyFill="1" applyBorder="1" applyAlignment="1">
      <alignment vertical="center"/>
    </xf>
    <xf numFmtId="0" fontId="30" fillId="0" borderId="12" xfId="0" applyFont="1" applyBorder="1" applyAlignment="1">
      <alignment vertical="center"/>
    </xf>
    <xf numFmtId="0" fontId="30" fillId="0" borderId="0" xfId="0" applyFont="1" applyBorder="1" applyAlignment="1">
      <alignment horizontal="right" vertical="center"/>
    </xf>
    <xf numFmtId="0" fontId="30" fillId="5" borderId="10" xfId="0" applyFont="1" applyFill="1" applyBorder="1" applyAlignment="1">
      <alignment horizontal="right" vertical="center"/>
    </xf>
    <xf numFmtId="0" fontId="57" fillId="0" borderId="0" xfId="0" applyFont="1" applyFill="1" applyBorder="1" applyAlignment="1">
      <alignment vertical="center"/>
    </xf>
    <xf numFmtId="0" fontId="30" fillId="3" borderId="8" xfId="0" applyFont="1" applyFill="1" applyBorder="1" applyAlignment="1">
      <alignment vertical="center"/>
    </xf>
    <xf numFmtId="0" fontId="30" fillId="0" borderId="0" xfId="0" applyFont="1" applyFill="1" applyBorder="1" applyAlignment="1">
      <alignment horizontal="left" vertical="center"/>
    </xf>
    <xf numFmtId="0" fontId="2" fillId="0" borderId="12" xfId="0" applyFont="1" applyFill="1" applyBorder="1" applyAlignment="1">
      <alignment vertical="center"/>
    </xf>
    <xf numFmtId="0" fontId="30" fillId="3" borderId="6" xfId="0" applyFont="1" applyFill="1" applyBorder="1" applyAlignment="1">
      <alignment vertical="center"/>
    </xf>
    <xf numFmtId="0" fontId="30" fillId="3" borderId="7" xfId="0" applyFont="1" applyFill="1" applyBorder="1" applyAlignment="1">
      <alignment vertical="center"/>
    </xf>
    <xf numFmtId="0" fontId="2" fillId="3" borderId="7" xfId="0" applyFont="1" applyFill="1" applyBorder="1" applyAlignment="1">
      <alignment vertical="center"/>
    </xf>
    <xf numFmtId="0" fontId="2" fillId="3" borderId="6" xfId="0" applyFont="1" applyFill="1" applyBorder="1" applyAlignment="1">
      <alignment vertical="center"/>
    </xf>
    <xf numFmtId="0" fontId="57" fillId="0" borderId="12" xfId="0" applyFont="1" applyFill="1" applyBorder="1" applyAlignment="1">
      <alignment vertical="center"/>
    </xf>
    <xf numFmtId="0" fontId="57" fillId="0" borderId="12" xfId="0" applyFont="1" applyBorder="1" applyAlignment="1">
      <alignment vertical="center"/>
    </xf>
    <xf numFmtId="0" fontId="57" fillId="0" borderId="0" xfId="0" applyFont="1" applyBorder="1" applyAlignment="1">
      <alignment vertical="center"/>
    </xf>
    <xf numFmtId="0" fontId="5" fillId="0" borderId="12" xfId="0" applyFont="1" applyFill="1" applyBorder="1" applyAlignment="1">
      <alignment vertical="center"/>
    </xf>
    <xf numFmtId="43" fontId="18" fillId="0" borderId="0" xfId="15" applyFont="1" applyFill="1" applyAlignment="1" applyProtection="1">
      <alignment/>
      <protection/>
    </xf>
    <xf numFmtId="0" fontId="86" fillId="0" borderId="0" xfId="0" applyFont="1" applyFill="1" applyAlignment="1" applyProtection="1">
      <alignment horizontal="center" wrapText="1"/>
      <protection/>
    </xf>
    <xf numFmtId="0" fontId="18" fillId="0" borderId="2" xfId="0" applyFont="1" applyFill="1" applyBorder="1" applyAlignment="1">
      <alignment horizontal="centerContinuous"/>
    </xf>
    <xf numFmtId="194" fontId="18" fillId="0" borderId="3" xfId="0" applyNumberFormat="1" applyFont="1" applyFill="1" applyBorder="1" applyAlignment="1">
      <alignment horizontal="centerContinuous"/>
    </xf>
    <xf numFmtId="0" fontId="19" fillId="0" borderId="0" xfId="0" applyFont="1" applyFill="1" applyBorder="1" applyAlignment="1" applyProtection="1">
      <alignment horizontal="center"/>
      <protection/>
    </xf>
    <xf numFmtId="0" fontId="40" fillId="0" borderId="4" xfId="0" applyFont="1" applyFill="1" applyBorder="1" applyAlignment="1" applyProtection="1">
      <alignment horizontal="left" wrapText="1"/>
      <protection/>
    </xf>
    <xf numFmtId="194" fontId="87" fillId="0" borderId="5" xfId="0" applyNumberFormat="1" applyFont="1" applyFill="1" applyBorder="1" applyAlignment="1" applyProtection="1">
      <alignment horizontal="center" wrapText="1"/>
      <protection/>
    </xf>
    <xf numFmtId="194" fontId="85" fillId="0" borderId="5" xfId="0" applyNumberFormat="1" applyFont="1" applyFill="1" applyBorder="1" applyAlignment="1" applyProtection="1">
      <alignment horizontal="center"/>
      <protection/>
    </xf>
    <xf numFmtId="0" fontId="3" fillId="0" borderId="4" xfId="0" applyFont="1" applyFill="1" applyBorder="1" applyAlignment="1" applyProtection="1">
      <alignment horizontal="left"/>
      <protection/>
    </xf>
    <xf numFmtId="0" fontId="3" fillId="0" borderId="17" xfId="0" applyFont="1" applyFill="1" applyBorder="1" applyAlignment="1" applyProtection="1">
      <alignment horizontal="left"/>
      <protection/>
    </xf>
    <xf numFmtId="194" fontId="85" fillId="0" borderId="20" xfId="0" applyNumberFormat="1" applyFont="1" applyFill="1" applyBorder="1" applyAlignment="1" applyProtection="1">
      <alignment horizontal="center"/>
      <protection/>
    </xf>
    <xf numFmtId="0" fontId="88" fillId="0" borderId="1" xfId="0" applyFont="1" applyFill="1" applyBorder="1" applyAlignment="1">
      <alignment horizontal="centerContinuous"/>
    </xf>
    <xf numFmtId="0" fontId="10" fillId="0" borderId="32" xfId="0" applyFont="1" applyBorder="1" applyAlignment="1">
      <alignment horizontal="centerContinuous"/>
    </xf>
    <xf numFmtId="0" fontId="10" fillId="0" borderId="43" xfId="0" applyFont="1" applyBorder="1" applyAlignment="1">
      <alignment horizontal="centerContinuous"/>
    </xf>
    <xf numFmtId="0" fontId="10" fillId="0" borderId="42" xfId="0" applyFont="1" applyBorder="1" applyAlignment="1">
      <alignment horizontal="centerContinuous"/>
    </xf>
    <xf numFmtId="0" fontId="10" fillId="0" borderId="43" xfId="0" applyFont="1" applyBorder="1" applyAlignment="1">
      <alignment/>
    </xf>
    <xf numFmtId="0" fontId="10" fillId="0" borderId="42" xfId="0" applyFont="1" applyBorder="1" applyAlignment="1">
      <alignment/>
    </xf>
    <xf numFmtId="0" fontId="4" fillId="0" borderId="16" xfId="0" applyFont="1" applyBorder="1" applyAlignment="1">
      <alignment/>
    </xf>
    <xf numFmtId="0" fontId="4" fillId="0" borderId="18" xfId="0" applyFont="1" applyBorder="1" applyAlignment="1">
      <alignment/>
    </xf>
    <xf numFmtId="0" fontId="10" fillId="0" borderId="32" xfId="0" applyFont="1" applyBorder="1" applyAlignment="1">
      <alignment/>
    </xf>
    <xf numFmtId="0" fontId="30" fillId="5" borderId="15" xfId="0" applyFont="1" applyFill="1" applyBorder="1" applyAlignment="1">
      <alignment vertical="center"/>
    </xf>
    <xf numFmtId="0" fontId="30" fillId="5" borderId="36" xfId="0" applyFont="1" applyFill="1" applyBorder="1" applyAlignment="1">
      <alignment vertical="center"/>
    </xf>
    <xf numFmtId="0" fontId="0" fillId="4" borderId="0" xfId="0" applyFont="1" applyFill="1" applyBorder="1" applyAlignment="1">
      <alignment vertical="center"/>
    </xf>
    <xf numFmtId="0" fontId="27" fillId="0" borderId="5" xfId="0" applyFont="1" applyBorder="1" applyAlignment="1">
      <alignment/>
    </xf>
    <xf numFmtId="0" fontId="4" fillId="0" borderId="74" xfId="0" applyFont="1" applyFill="1" applyBorder="1" applyAlignment="1">
      <alignment/>
    </xf>
    <xf numFmtId="0" fontId="4" fillId="0" borderId="72" xfId="0" applyFont="1" applyFill="1" applyBorder="1" applyAlignment="1">
      <alignment/>
    </xf>
    <xf numFmtId="0" fontId="4" fillId="0" borderId="73" xfId="0" applyFont="1" applyFill="1" applyBorder="1" applyAlignment="1">
      <alignment/>
    </xf>
    <xf numFmtId="0" fontId="4" fillId="0" borderId="72" xfId="0" applyFont="1" applyFill="1" applyBorder="1" applyAlignment="1">
      <alignment horizontal="right"/>
    </xf>
    <xf numFmtId="0" fontId="4" fillId="0" borderId="73" xfId="0" applyFont="1" applyBorder="1" applyAlignment="1">
      <alignment horizontal="centerContinuous"/>
    </xf>
    <xf numFmtId="0" fontId="4" fillId="0" borderId="19" xfId="0" applyFont="1" applyBorder="1" applyAlignment="1">
      <alignment horizontal="centerContinuous"/>
    </xf>
    <xf numFmtId="0" fontId="4" fillId="0" borderId="72" xfId="0" applyFont="1" applyBorder="1" applyAlignment="1">
      <alignment horizontal="centerContinuous"/>
    </xf>
    <xf numFmtId="0" fontId="10" fillId="0" borderId="32" xfId="0" applyFont="1" applyFill="1" applyBorder="1" applyAlignment="1">
      <alignment horizontal="centerContinuous"/>
    </xf>
    <xf numFmtId="0" fontId="10" fillId="0" borderId="43" xfId="0" applyFont="1" applyFill="1" applyBorder="1" applyAlignment="1">
      <alignment horizontal="centerContinuous"/>
    </xf>
    <xf numFmtId="0" fontId="10" fillId="0" borderId="75" xfId="0" applyFont="1" applyFill="1" applyBorder="1" applyAlignment="1">
      <alignment horizontal="centerContinuous"/>
    </xf>
    <xf numFmtId="0" fontId="10" fillId="0" borderId="76" xfId="0" applyFont="1" applyFill="1" applyBorder="1" applyAlignment="1">
      <alignment horizontal="centerContinuous"/>
    </xf>
    <xf numFmtId="0" fontId="10" fillId="0" borderId="75" xfId="0" applyFont="1" applyBorder="1" applyAlignment="1">
      <alignment horizontal="centerContinuous"/>
    </xf>
    <xf numFmtId="0" fontId="10" fillId="0" borderId="76" xfId="0" applyFont="1" applyBorder="1" applyAlignment="1">
      <alignment horizontal="centerContinuous"/>
    </xf>
    <xf numFmtId="0" fontId="4" fillId="0" borderId="77" xfId="0" applyFont="1" applyBorder="1" applyAlignment="1">
      <alignment/>
    </xf>
    <xf numFmtId="0" fontId="4" fillId="0" borderId="78" xfId="0" applyFont="1" applyBorder="1" applyAlignment="1">
      <alignment/>
    </xf>
    <xf numFmtId="0" fontId="10" fillId="4" borderId="6" xfId="0" applyFont="1" applyFill="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image" Target="../media/image5.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'[1]Mpwr smry'!$B$18</c:f>
              <c:strCache>
                <c:ptCount val="1"/>
                <c:pt idx="0">
                  <c:v>PPPL Tecnicians BASELINE</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8100">
                <a:solidFill>
                  <a:srgbClr val="000000"/>
                </a:solidFill>
                <a:prstDash val="dash"/>
              </a:ln>
            </c:spPr>
            <c:trendlineType val="poly"/>
            <c:order val="6"/>
            <c:dispEq val="0"/>
            <c:dispRSqr val="0"/>
          </c:trendline>
          <c:cat>
            <c:numRef>
              <c:f>'[1]Mpwr smry'!$I$16:$AS$16</c:f>
              <c:numCache>
                <c:ptCount val="37"/>
                <c:pt idx="0">
                  <c:v>38808</c:v>
                </c:pt>
                <c:pt idx="1">
                  <c:v>38838</c:v>
                </c:pt>
                <c:pt idx="2">
                  <c:v>38869</c:v>
                </c:pt>
                <c:pt idx="3">
                  <c:v>38899</c:v>
                </c:pt>
                <c:pt idx="4">
                  <c:v>38930</c:v>
                </c:pt>
                <c:pt idx="5">
                  <c:v>38961</c:v>
                </c:pt>
                <c:pt idx="6">
                  <c:v>38991</c:v>
                </c:pt>
                <c:pt idx="7">
                  <c:v>39022</c:v>
                </c:pt>
                <c:pt idx="8">
                  <c:v>39052</c:v>
                </c:pt>
                <c:pt idx="9">
                  <c:v>39083</c:v>
                </c:pt>
                <c:pt idx="10">
                  <c:v>39114</c:v>
                </c:pt>
                <c:pt idx="11">
                  <c:v>39142</c:v>
                </c:pt>
                <c:pt idx="12">
                  <c:v>39173</c:v>
                </c:pt>
                <c:pt idx="13">
                  <c:v>39203</c:v>
                </c:pt>
                <c:pt idx="14">
                  <c:v>39234</c:v>
                </c:pt>
                <c:pt idx="15">
                  <c:v>39264</c:v>
                </c:pt>
                <c:pt idx="16">
                  <c:v>39295</c:v>
                </c:pt>
                <c:pt idx="17">
                  <c:v>39326</c:v>
                </c:pt>
                <c:pt idx="18">
                  <c:v>39356</c:v>
                </c:pt>
                <c:pt idx="19">
                  <c:v>39387</c:v>
                </c:pt>
                <c:pt idx="20">
                  <c:v>39417</c:v>
                </c:pt>
                <c:pt idx="21">
                  <c:v>39448</c:v>
                </c:pt>
                <c:pt idx="22">
                  <c:v>39479</c:v>
                </c:pt>
                <c:pt idx="23">
                  <c:v>39508</c:v>
                </c:pt>
                <c:pt idx="24">
                  <c:v>39539</c:v>
                </c:pt>
                <c:pt idx="25">
                  <c:v>39569</c:v>
                </c:pt>
                <c:pt idx="26">
                  <c:v>39600</c:v>
                </c:pt>
                <c:pt idx="27">
                  <c:v>39630</c:v>
                </c:pt>
                <c:pt idx="28">
                  <c:v>39661</c:v>
                </c:pt>
                <c:pt idx="29">
                  <c:v>39692</c:v>
                </c:pt>
                <c:pt idx="30">
                  <c:v>39722</c:v>
                </c:pt>
                <c:pt idx="31">
                  <c:v>39753</c:v>
                </c:pt>
                <c:pt idx="32">
                  <c:v>39783</c:v>
                </c:pt>
                <c:pt idx="33">
                  <c:v>39814</c:v>
                </c:pt>
                <c:pt idx="34">
                  <c:v>39845</c:v>
                </c:pt>
                <c:pt idx="35">
                  <c:v>39873</c:v>
                </c:pt>
                <c:pt idx="36">
                  <c:v>39904</c:v>
                </c:pt>
              </c:numCache>
            </c:numRef>
          </c:cat>
          <c:val>
            <c:numRef>
              <c:f>'[1]Mpwr smry'!$I$18:$AS$18</c:f>
              <c:numCache>
                <c:ptCount val="37"/>
                <c:pt idx="0">
                  <c:v>25.099999999999998</c:v>
                </c:pt>
                <c:pt idx="1">
                  <c:v>26</c:v>
                </c:pt>
                <c:pt idx="2">
                  <c:v>25.9</c:v>
                </c:pt>
                <c:pt idx="3">
                  <c:v>19.599999999999998</c:v>
                </c:pt>
                <c:pt idx="4">
                  <c:v>23.3</c:v>
                </c:pt>
                <c:pt idx="5">
                  <c:v>20.3</c:v>
                </c:pt>
                <c:pt idx="6">
                  <c:v>33.5</c:v>
                </c:pt>
                <c:pt idx="7">
                  <c:v>31.1</c:v>
                </c:pt>
                <c:pt idx="8">
                  <c:v>22.4</c:v>
                </c:pt>
                <c:pt idx="9">
                  <c:v>37.9</c:v>
                </c:pt>
                <c:pt idx="10">
                  <c:v>29.2</c:v>
                </c:pt>
                <c:pt idx="11">
                  <c:v>28.3</c:v>
                </c:pt>
                <c:pt idx="12">
                  <c:v>32.3</c:v>
                </c:pt>
                <c:pt idx="13">
                  <c:v>34.2</c:v>
                </c:pt>
                <c:pt idx="14">
                  <c:v>36.2</c:v>
                </c:pt>
                <c:pt idx="15">
                  <c:v>41</c:v>
                </c:pt>
                <c:pt idx="16">
                  <c:v>42.5</c:v>
                </c:pt>
                <c:pt idx="17">
                  <c:v>23.5</c:v>
                </c:pt>
                <c:pt idx="18">
                  <c:v>37.099999999999994</c:v>
                </c:pt>
                <c:pt idx="19">
                  <c:v>32.6</c:v>
                </c:pt>
                <c:pt idx="20">
                  <c:v>23.4</c:v>
                </c:pt>
                <c:pt idx="21">
                  <c:v>27</c:v>
                </c:pt>
                <c:pt idx="22">
                  <c:v>23.5</c:v>
                </c:pt>
                <c:pt idx="23">
                  <c:v>19.8</c:v>
                </c:pt>
                <c:pt idx="24">
                  <c:v>21.5</c:v>
                </c:pt>
                <c:pt idx="25">
                  <c:v>17.2</c:v>
                </c:pt>
                <c:pt idx="26">
                  <c:v>15</c:v>
                </c:pt>
                <c:pt idx="27">
                  <c:v>18</c:v>
                </c:pt>
                <c:pt idx="28">
                  <c:v>20.1</c:v>
                </c:pt>
                <c:pt idx="29">
                  <c:v>19.5</c:v>
                </c:pt>
                <c:pt idx="30">
                  <c:v>18.7</c:v>
                </c:pt>
                <c:pt idx="31">
                  <c:v>12.1</c:v>
                </c:pt>
                <c:pt idx="32">
                  <c:v>16.3</c:v>
                </c:pt>
                <c:pt idx="33">
                  <c:v>10.899999999999999</c:v>
                </c:pt>
                <c:pt idx="34">
                  <c:v>8.5</c:v>
                </c:pt>
                <c:pt idx="35">
                  <c:v>2</c:v>
                </c:pt>
                <c:pt idx="36">
                  <c:v>0</c:v>
                </c:pt>
              </c:numCache>
            </c:numRef>
          </c:val>
          <c:smooth val="0"/>
        </c:ser>
        <c:ser>
          <c:idx val="3"/>
          <c:order val="1"/>
          <c:tx>
            <c:strRef>
              <c:f>'[1]Mpwr smry'!$B$22</c:f>
              <c:strCache>
                <c:ptCount val="1"/>
                <c:pt idx="0">
                  <c:v>PPPL Tecnicians ETC</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8100">
                <a:solidFill>
                  <a:srgbClr val="0000FF"/>
                </a:solidFill>
              </a:ln>
            </c:spPr>
            <c:trendlineType val="poly"/>
            <c:order val="6"/>
            <c:dispEq val="0"/>
            <c:dispRSqr val="0"/>
          </c:trendline>
          <c:cat>
            <c:numRef>
              <c:f>'[1]Mpwr smry'!$I$16:$AS$16</c:f>
              <c:numCache>
                <c:ptCount val="37"/>
                <c:pt idx="0">
                  <c:v>38808</c:v>
                </c:pt>
                <c:pt idx="1">
                  <c:v>38838</c:v>
                </c:pt>
                <c:pt idx="2">
                  <c:v>38869</c:v>
                </c:pt>
                <c:pt idx="3">
                  <c:v>38899</c:v>
                </c:pt>
                <c:pt idx="4">
                  <c:v>38930</c:v>
                </c:pt>
                <c:pt idx="5">
                  <c:v>38961</c:v>
                </c:pt>
                <c:pt idx="6">
                  <c:v>38991</c:v>
                </c:pt>
                <c:pt idx="7">
                  <c:v>39022</c:v>
                </c:pt>
                <c:pt idx="8">
                  <c:v>39052</c:v>
                </c:pt>
                <c:pt idx="9">
                  <c:v>39083</c:v>
                </c:pt>
                <c:pt idx="10">
                  <c:v>39114</c:v>
                </c:pt>
                <c:pt idx="11">
                  <c:v>39142</c:v>
                </c:pt>
                <c:pt idx="12">
                  <c:v>39173</c:v>
                </c:pt>
                <c:pt idx="13">
                  <c:v>39203</c:v>
                </c:pt>
                <c:pt idx="14">
                  <c:v>39234</c:v>
                </c:pt>
                <c:pt idx="15">
                  <c:v>39264</c:v>
                </c:pt>
                <c:pt idx="16">
                  <c:v>39295</c:v>
                </c:pt>
                <c:pt idx="17">
                  <c:v>39326</c:v>
                </c:pt>
                <c:pt idx="18">
                  <c:v>39356</c:v>
                </c:pt>
                <c:pt idx="19">
                  <c:v>39387</c:v>
                </c:pt>
                <c:pt idx="20">
                  <c:v>39417</c:v>
                </c:pt>
                <c:pt idx="21">
                  <c:v>39448</c:v>
                </c:pt>
                <c:pt idx="22">
                  <c:v>39479</c:v>
                </c:pt>
                <c:pt idx="23">
                  <c:v>39508</c:v>
                </c:pt>
                <c:pt idx="24">
                  <c:v>39539</c:v>
                </c:pt>
                <c:pt idx="25">
                  <c:v>39569</c:v>
                </c:pt>
                <c:pt idx="26">
                  <c:v>39600</c:v>
                </c:pt>
                <c:pt idx="27">
                  <c:v>39630</c:v>
                </c:pt>
                <c:pt idx="28">
                  <c:v>39661</c:v>
                </c:pt>
                <c:pt idx="29">
                  <c:v>39692</c:v>
                </c:pt>
                <c:pt idx="30">
                  <c:v>39722</c:v>
                </c:pt>
                <c:pt idx="31">
                  <c:v>39753</c:v>
                </c:pt>
                <c:pt idx="32">
                  <c:v>39783</c:v>
                </c:pt>
                <c:pt idx="33">
                  <c:v>39814</c:v>
                </c:pt>
                <c:pt idx="34">
                  <c:v>39845</c:v>
                </c:pt>
                <c:pt idx="35">
                  <c:v>39873</c:v>
                </c:pt>
                <c:pt idx="36">
                  <c:v>39904</c:v>
                </c:pt>
              </c:numCache>
            </c:numRef>
          </c:cat>
          <c:val>
            <c:numRef>
              <c:f>'[1]Mpwr smry'!$I$22:$AS$22</c:f>
              <c:numCache>
                <c:ptCount val="37"/>
                <c:pt idx="0">
                  <c:v>18.325333333333333</c:v>
                </c:pt>
                <c:pt idx="1">
                  <c:v>25.130666666666666</c:v>
                </c:pt>
                <c:pt idx="2">
                  <c:v>24.120666666666665</c:v>
                </c:pt>
                <c:pt idx="3">
                  <c:v>23.092666666666666</c:v>
                </c:pt>
                <c:pt idx="4">
                  <c:v>26.831333333333333</c:v>
                </c:pt>
                <c:pt idx="5">
                  <c:v>19.364666666666665</c:v>
                </c:pt>
                <c:pt idx="6">
                  <c:v>32.01466666666666</c:v>
                </c:pt>
                <c:pt idx="7">
                  <c:v>24.19333333333333</c:v>
                </c:pt>
                <c:pt idx="8">
                  <c:v>21.991333333333333</c:v>
                </c:pt>
                <c:pt idx="9">
                  <c:v>26.636</c:v>
                </c:pt>
                <c:pt idx="10">
                  <c:v>23.212</c:v>
                </c:pt>
                <c:pt idx="11">
                  <c:v>23.924666666666667</c:v>
                </c:pt>
                <c:pt idx="12">
                  <c:v>26.843999999999998</c:v>
                </c:pt>
                <c:pt idx="13">
                  <c:v>35.026666666666664</c:v>
                </c:pt>
                <c:pt idx="14">
                  <c:v>29.265333333333334</c:v>
                </c:pt>
                <c:pt idx="15">
                  <c:v>37.262</c:v>
                </c:pt>
                <c:pt idx="16">
                  <c:v>39.596</c:v>
                </c:pt>
                <c:pt idx="17">
                  <c:v>27.484666666666666</c:v>
                </c:pt>
                <c:pt idx="18">
                  <c:v>46.626</c:v>
                </c:pt>
                <c:pt idx="19">
                  <c:v>26.979333333333333</c:v>
                </c:pt>
                <c:pt idx="20">
                  <c:v>20.607333333333333</c:v>
                </c:pt>
                <c:pt idx="21">
                  <c:v>19.967333333333332</c:v>
                </c:pt>
                <c:pt idx="22">
                  <c:v>22.49266666666667</c:v>
                </c:pt>
                <c:pt idx="23">
                  <c:v>16.885333333333335</c:v>
                </c:pt>
                <c:pt idx="24">
                  <c:v>22.085333333333335</c:v>
                </c:pt>
                <c:pt idx="25">
                  <c:v>15.852666666666668</c:v>
                </c:pt>
                <c:pt idx="26">
                  <c:v>17.122</c:v>
                </c:pt>
                <c:pt idx="27">
                  <c:v>18.218666666666667</c:v>
                </c:pt>
                <c:pt idx="28">
                  <c:v>20.822666666666667</c:v>
                </c:pt>
                <c:pt idx="29">
                  <c:v>22.486666666666668</c:v>
                </c:pt>
                <c:pt idx="30">
                  <c:v>15.444666666666665</c:v>
                </c:pt>
                <c:pt idx="31">
                  <c:v>9.784666666666666</c:v>
                </c:pt>
                <c:pt idx="32">
                  <c:v>5.716</c:v>
                </c:pt>
                <c:pt idx="33">
                  <c:v>6.377333333333334</c:v>
                </c:pt>
                <c:pt idx="34">
                  <c:v>0.838</c:v>
                </c:pt>
                <c:pt idx="35">
                  <c:v>0</c:v>
                </c:pt>
                <c:pt idx="36">
                  <c:v>0</c:v>
                </c:pt>
              </c:numCache>
            </c:numRef>
          </c:val>
          <c:smooth val="0"/>
        </c:ser>
        <c:axId val="63951409"/>
        <c:axId val="12681602"/>
      </c:lineChart>
      <c:catAx>
        <c:axId val="63951409"/>
        <c:scaling>
          <c:orientation val="minMax"/>
        </c:scaling>
        <c:axPos val="b"/>
        <c:majorGridlines/>
        <c:delete val="0"/>
        <c:numFmt formatCode="mmm" sourceLinked="0"/>
        <c:majorTickMark val="out"/>
        <c:minorTickMark val="out"/>
        <c:tickLblPos val="nextTo"/>
        <c:crossAx val="12681602"/>
        <c:crosses val="autoZero"/>
        <c:auto val="1"/>
        <c:lblOffset val="100"/>
        <c:noMultiLvlLbl val="0"/>
      </c:catAx>
      <c:valAx>
        <c:axId val="12681602"/>
        <c:scaling>
          <c:orientation val="minMax"/>
          <c:max val="40"/>
          <c:min val="5"/>
        </c:scaling>
        <c:axPos val="l"/>
        <c:majorGridlines/>
        <c:delete val="0"/>
        <c:numFmt formatCode="General" sourceLinked="1"/>
        <c:majorTickMark val="out"/>
        <c:minorTickMark val="none"/>
        <c:tickLblPos val="nextTo"/>
        <c:crossAx val="6395140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'Mpwr smry'!$B$4</c:f>
              <c:strCache>
                <c:ptCount val="1"/>
                <c:pt idx="0">
                  <c:v>EA//EM</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'Mpwr smry'!$D$3:$N$3</c:f>
              <c:numCache>
                <c:ptCount val="11"/>
              </c:numCache>
            </c:numRef>
          </c:cat>
          <c:val>
            <c:numRef>
              <c:f>'Mpwr smry'!$D$4:$N$4</c:f>
              <c:numCache>
                <c:ptCount val="11"/>
                <c:pt idx="0">
                  <c:v>2.6</c:v>
                </c:pt>
                <c:pt idx="1">
                  <c:v>2.6</c:v>
                </c:pt>
                <c:pt idx="2">
                  <c:v>2.6</c:v>
                </c:pt>
                <c:pt idx="3">
                  <c:v>2.4</c:v>
                </c:pt>
                <c:pt idx="4">
                  <c:v>1.9</c:v>
                </c:pt>
                <c:pt idx="5">
                  <c:v>2.6</c:v>
                </c:pt>
                <c:pt idx="6">
                  <c:v>2.4</c:v>
                </c:pt>
                <c:pt idx="7">
                  <c:v>2.6</c:v>
                </c:pt>
                <c:pt idx="8">
                  <c:v>2.5</c:v>
                </c:pt>
                <c:pt idx="9">
                  <c:v>2.8</c:v>
                </c:pt>
                <c:pt idx="10">
                  <c:v>2.7</c:v>
                </c:pt>
              </c:numCache>
            </c:numRef>
          </c:val>
          <c:smooth val="0"/>
        </c:ser>
        <c:ser>
          <c:idx val="1"/>
          <c:order val="1"/>
          <c:tx>
            <c:strRef>
              <c:f>'Mpwr smry'!$B$5</c:f>
              <c:strCache>
                <c:ptCount val="1"/>
                <c:pt idx="0">
                  <c:v>EC//EM</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8100">
                <a:solidFill>
                  <a:srgbClr val="000000"/>
                </a:solidFill>
              </a:ln>
            </c:spPr>
            <c:marker>
              <c:symbol val="none"/>
            </c:marker>
          </c:dPt>
          <c:dPt>
            <c:idx val="2"/>
            <c:spPr>
              <a:ln w="38100">
                <a:solidFill>
                  <a:srgbClr val="000000"/>
                </a:solidFill>
              </a:ln>
            </c:spPr>
            <c:marker>
              <c:symbol val="none"/>
            </c:marker>
          </c:dPt>
          <c:dPt>
            <c:idx val="3"/>
            <c:spPr>
              <a:ln w="38100">
                <a:solidFill>
                  <a:srgbClr val="000000"/>
                </a:solidFill>
              </a:ln>
            </c:spPr>
            <c:marker>
              <c:symbol val="none"/>
            </c:marker>
          </c:dPt>
          <c:trendline>
            <c:spPr>
              <a:ln w="25400">
                <a:solidFill>
                  <a:srgbClr val="FF0000"/>
                </a:solidFill>
              </a:ln>
            </c:spPr>
            <c:trendlineType val="poly"/>
            <c:order val="5"/>
            <c:dispEq val="0"/>
            <c:dispRSqr val="0"/>
          </c:trendline>
          <c:cat>
            <c:numRef>
              <c:f>'Mpwr smry'!$D$3:$N$3</c:f>
              <c:numCache>
                <c:ptCount val="11"/>
              </c:numCache>
            </c:numRef>
          </c:cat>
          <c:val>
            <c:numRef>
              <c:f>'Mpwr smry'!$D$5:$N$5</c:f>
              <c:numCache>
                <c:ptCount val="11"/>
              </c:numCache>
            </c:numRef>
          </c:val>
          <c:smooth val="0"/>
        </c:ser>
        <c:axId val="20576803"/>
        <c:axId val="56108308"/>
      </c:lineChart>
      <c:catAx>
        <c:axId val="20576803"/>
        <c:scaling>
          <c:orientation val="minMax"/>
        </c:scaling>
        <c:axPos val="b"/>
        <c:delete val="0"/>
        <c:numFmt formatCode="General" sourceLinked="1"/>
        <c:majorTickMark val="out"/>
        <c:minorTickMark val="none"/>
        <c:tickLblPos val="nextTo"/>
        <c:txPr>
          <a:bodyPr vert="horz" rot="-5400000"/>
          <a:lstStyle/>
          <a:p>
            <a:pPr>
              <a:defRPr lang="en-US" cap="none" sz="100" b="1" i="0" u="none" baseline="0">
                <a:latin typeface="Arial"/>
                <a:ea typeface="Arial"/>
                <a:cs typeface="Arial"/>
              </a:defRPr>
            </a:pPr>
          </a:p>
        </c:txPr>
        <c:crossAx val="56108308"/>
        <c:crosses val="autoZero"/>
        <c:auto val="1"/>
        <c:lblOffset val="100"/>
        <c:noMultiLvlLbl val="0"/>
      </c:catAx>
      <c:valAx>
        <c:axId val="56108308"/>
        <c:scaling>
          <c:orientation val="minMax"/>
          <c:max val="40"/>
          <c:min val="0"/>
        </c:scaling>
        <c:axPos val="l"/>
        <c:majorGridlines/>
        <c:delete val="0"/>
        <c:numFmt formatCode="General" sourceLinked="1"/>
        <c:majorTickMark val="out"/>
        <c:minorTickMark val="none"/>
        <c:tickLblPos val="nextTo"/>
        <c:crossAx val="20576803"/>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 b="1"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175"/>
          <c:w val="0.92"/>
          <c:h val="0.96525"/>
        </c:manualLayout>
      </c:layout>
      <c:lineChart>
        <c:grouping val="standard"/>
        <c:varyColors val="0"/>
        <c:ser>
          <c:idx val="0"/>
          <c:order val="0"/>
          <c:tx>
            <c:strRef>
              <c:f>'Mpwr smry'!$B$40</c:f>
              <c:strCache>
                <c:ptCount val="1"/>
                <c:pt idx="0">
                  <c:v>Techs (incl baseline Contingency)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8100">
                <a:solidFill>
                  <a:srgbClr val="0000FF"/>
                </a:solidFill>
              </a:ln>
            </c:spPr>
            <c:trendlineType val="movingAvg"/>
            <c:period val="3"/>
          </c:trendline>
          <c:cat>
            <c:strRef>
              <c:f>'Mpwr smry'!$F$39:$AM$39</c:f>
              <c:strCache>
                <c:ptCount val="34"/>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strCache>
            </c:strRef>
          </c:cat>
          <c:val>
            <c:numRef>
              <c:f>'Mpwr smry'!$F$40:$AM$40</c:f>
              <c:numCache>
                <c:ptCount val="34"/>
                <c:pt idx="0">
                  <c:v>31.7</c:v>
                </c:pt>
                <c:pt idx="1">
                  <c:v>24</c:v>
                </c:pt>
                <c:pt idx="2">
                  <c:v>22.5</c:v>
                </c:pt>
                <c:pt idx="3">
                  <c:v>33.4</c:v>
                </c:pt>
                <c:pt idx="4">
                  <c:v>28.7</c:v>
                </c:pt>
                <c:pt idx="5">
                  <c:v>36.2</c:v>
                </c:pt>
                <c:pt idx="6">
                  <c:v>29.7</c:v>
                </c:pt>
                <c:pt idx="7">
                  <c:v>32</c:v>
                </c:pt>
                <c:pt idx="8">
                  <c:v>31.5</c:v>
                </c:pt>
                <c:pt idx="9">
                  <c:v>26.6</c:v>
                </c:pt>
                <c:pt idx="10">
                  <c:v>37.6</c:v>
                </c:pt>
                <c:pt idx="11">
                  <c:v>30.1</c:v>
                </c:pt>
                <c:pt idx="12">
                  <c:v>34.8</c:v>
                </c:pt>
                <c:pt idx="13">
                  <c:v>31</c:v>
                </c:pt>
                <c:pt idx="14">
                  <c:v>18.8</c:v>
                </c:pt>
                <c:pt idx="15">
                  <c:v>27.9</c:v>
                </c:pt>
                <c:pt idx="16">
                  <c:v>29.5</c:v>
                </c:pt>
                <c:pt idx="17">
                  <c:v>24.4</c:v>
                </c:pt>
                <c:pt idx="18">
                  <c:v>28.8</c:v>
                </c:pt>
                <c:pt idx="19">
                  <c:v>36.6</c:v>
                </c:pt>
                <c:pt idx="20">
                  <c:v>36.7</c:v>
                </c:pt>
                <c:pt idx="21">
                  <c:v>30.1</c:v>
                </c:pt>
                <c:pt idx="22">
                  <c:v>25.7</c:v>
                </c:pt>
                <c:pt idx="23">
                  <c:v>29.6</c:v>
                </c:pt>
                <c:pt idx="24">
                  <c:v>27.6</c:v>
                </c:pt>
                <c:pt idx="25">
                  <c:v>11.5</c:v>
                </c:pt>
                <c:pt idx="26">
                  <c:v>12</c:v>
                </c:pt>
                <c:pt idx="27">
                  <c:v>13.1</c:v>
                </c:pt>
                <c:pt idx="28">
                  <c:v>8.2</c:v>
                </c:pt>
                <c:pt idx="29">
                  <c:v>3.8</c:v>
                </c:pt>
                <c:pt idx="30">
                  <c:v>0</c:v>
                </c:pt>
                <c:pt idx="31">
                  <c:v>0</c:v>
                </c:pt>
              </c:numCache>
            </c:numRef>
          </c:val>
          <c:smooth val="0"/>
        </c:ser>
        <c:ser>
          <c:idx val="1"/>
          <c:order val="1"/>
          <c:tx>
            <c:strRef>
              <c:f>'Mpwr smry'!$B$41</c:f>
              <c:strCache>
                <c:ptCount val="1"/>
                <c:pt idx="0">
                  <c:v>Engrs (incl baseline contingency)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8100">
                <a:solidFill>
                  <a:srgbClr val="FF0000"/>
                </a:solidFill>
              </a:ln>
            </c:spPr>
            <c:trendlineType val="movingAvg"/>
            <c:period val="3"/>
          </c:trendline>
          <c:cat>
            <c:strRef>
              <c:f>'Mpwr smry'!$F$39:$AM$39</c:f>
              <c:strCache>
                <c:ptCount val="34"/>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strCache>
            </c:strRef>
          </c:cat>
          <c:val>
            <c:numRef>
              <c:f>'Mpwr smry'!$F$41:$AM$41</c:f>
              <c:numCache>
                <c:ptCount val="34"/>
                <c:pt idx="0">
                  <c:v>13.7</c:v>
                </c:pt>
                <c:pt idx="1">
                  <c:v>17.8</c:v>
                </c:pt>
                <c:pt idx="2">
                  <c:v>14.1</c:v>
                </c:pt>
                <c:pt idx="3">
                  <c:v>16.5</c:v>
                </c:pt>
                <c:pt idx="4">
                  <c:v>14</c:v>
                </c:pt>
                <c:pt idx="5">
                  <c:v>16</c:v>
                </c:pt>
                <c:pt idx="6">
                  <c:v>10.7</c:v>
                </c:pt>
                <c:pt idx="7">
                  <c:v>11.3</c:v>
                </c:pt>
                <c:pt idx="8">
                  <c:v>10.1</c:v>
                </c:pt>
                <c:pt idx="9">
                  <c:v>9.6</c:v>
                </c:pt>
                <c:pt idx="10">
                  <c:v>10.4</c:v>
                </c:pt>
                <c:pt idx="11">
                  <c:v>8.3</c:v>
                </c:pt>
                <c:pt idx="12">
                  <c:v>17.8</c:v>
                </c:pt>
                <c:pt idx="13">
                  <c:v>17.1</c:v>
                </c:pt>
                <c:pt idx="14">
                  <c:v>10.2</c:v>
                </c:pt>
                <c:pt idx="15">
                  <c:v>13.6</c:v>
                </c:pt>
                <c:pt idx="16">
                  <c:v>10.4</c:v>
                </c:pt>
                <c:pt idx="17">
                  <c:v>9.8</c:v>
                </c:pt>
                <c:pt idx="18">
                  <c:v>10.5</c:v>
                </c:pt>
                <c:pt idx="19">
                  <c:v>12.2</c:v>
                </c:pt>
                <c:pt idx="20">
                  <c:v>12.7</c:v>
                </c:pt>
                <c:pt idx="21">
                  <c:v>11.2</c:v>
                </c:pt>
                <c:pt idx="22">
                  <c:v>9.4</c:v>
                </c:pt>
                <c:pt idx="23">
                  <c:v>8.4</c:v>
                </c:pt>
                <c:pt idx="24">
                  <c:v>4.8</c:v>
                </c:pt>
                <c:pt idx="25">
                  <c:v>3.7</c:v>
                </c:pt>
                <c:pt idx="26">
                  <c:v>4.6</c:v>
                </c:pt>
                <c:pt idx="27">
                  <c:v>5.1</c:v>
                </c:pt>
                <c:pt idx="28">
                  <c:v>3.8</c:v>
                </c:pt>
                <c:pt idx="29">
                  <c:v>2.9</c:v>
                </c:pt>
                <c:pt idx="30">
                  <c:v>0.6</c:v>
                </c:pt>
                <c:pt idx="31">
                  <c:v>0.2</c:v>
                </c:pt>
              </c:numCache>
            </c:numRef>
          </c:val>
          <c:smooth val="0"/>
        </c:ser>
        <c:ser>
          <c:idx val="2"/>
          <c:order val="2"/>
          <c:tx>
            <c:strRef>
              <c:f>'Mpwr smry'!$B$42</c:f>
              <c:strCache>
                <c:ptCount val="1"/>
                <c:pt idx="0">
                  <c:v>Add'l contingency Techs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'Mpwr smry'!$F$39:$AM$39</c:f>
              <c:strCache>
                <c:ptCount val="34"/>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strCache>
            </c:strRef>
          </c:cat>
          <c:val>
            <c:numRef>
              <c:f>'Mpwr smry'!$F$42:$AM$42</c:f>
              <c:numCache>
                <c:ptCount val="34"/>
                <c:pt idx="0">
                  <c:v>31.7</c:v>
                </c:pt>
                <c:pt idx="1">
                  <c:v>24</c:v>
                </c:pt>
                <c:pt idx="2">
                  <c:v>22.5</c:v>
                </c:pt>
                <c:pt idx="3">
                  <c:v>33.4</c:v>
                </c:pt>
                <c:pt idx="4">
                  <c:v>28.7</c:v>
                </c:pt>
                <c:pt idx="5">
                  <c:v>36.2</c:v>
                </c:pt>
                <c:pt idx="6">
                  <c:v>29.7</c:v>
                </c:pt>
                <c:pt idx="7">
                  <c:v>32</c:v>
                </c:pt>
                <c:pt idx="8">
                  <c:v>31.5</c:v>
                </c:pt>
                <c:pt idx="9">
                  <c:v>26.6</c:v>
                </c:pt>
                <c:pt idx="10">
                  <c:v>37.6</c:v>
                </c:pt>
                <c:pt idx="11">
                  <c:v>30.1</c:v>
                </c:pt>
                <c:pt idx="12">
                  <c:v>34.8</c:v>
                </c:pt>
                <c:pt idx="13">
                  <c:v>35</c:v>
                </c:pt>
                <c:pt idx="14">
                  <c:v>23.8</c:v>
                </c:pt>
                <c:pt idx="15">
                  <c:v>33.9</c:v>
                </c:pt>
                <c:pt idx="16">
                  <c:v>35.5</c:v>
                </c:pt>
                <c:pt idx="17">
                  <c:v>30.4</c:v>
                </c:pt>
                <c:pt idx="18">
                  <c:v>34.8</c:v>
                </c:pt>
                <c:pt idx="19">
                  <c:v>42.6</c:v>
                </c:pt>
                <c:pt idx="20">
                  <c:v>43.7</c:v>
                </c:pt>
                <c:pt idx="21">
                  <c:v>38.1</c:v>
                </c:pt>
                <c:pt idx="22">
                  <c:v>38.7</c:v>
                </c:pt>
                <c:pt idx="23">
                  <c:v>44.6</c:v>
                </c:pt>
                <c:pt idx="24">
                  <c:v>47.6</c:v>
                </c:pt>
                <c:pt idx="25">
                  <c:v>40.5</c:v>
                </c:pt>
                <c:pt idx="26">
                  <c:v>44</c:v>
                </c:pt>
                <c:pt idx="27">
                  <c:v>47.1</c:v>
                </c:pt>
                <c:pt idx="28">
                  <c:v>40.2</c:v>
                </c:pt>
                <c:pt idx="29">
                  <c:v>31.8</c:v>
                </c:pt>
                <c:pt idx="30">
                  <c:v>28</c:v>
                </c:pt>
                <c:pt idx="31">
                  <c:v>25</c:v>
                </c:pt>
                <c:pt idx="32">
                  <c:v>23</c:v>
                </c:pt>
                <c:pt idx="33">
                  <c:v>15</c:v>
                </c:pt>
              </c:numCache>
            </c:numRef>
          </c:val>
          <c:smooth val="0"/>
        </c:ser>
        <c:axId val="48479061"/>
        <c:axId val="34489830"/>
      </c:lineChart>
      <c:catAx>
        <c:axId val="48479061"/>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4489830"/>
        <c:crosses val="autoZero"/>
        <c:auto val="1"/>
        <c:lblOffset val="100"/>
        <c:noMultiLvlLbl val="0"/>
      </c:catAx>
      <c:valAx>
        <c:axId val="34489830"/>
        <c:scaling>
          <c:orientation val="minMax"/>
          <c:max val="50"/>
        </c:scaling>
        <c:axPos val="l"/>
        <c:majorGridlines/>
        <c:delete val="0"/>
        <c:numFmt formatCode="0" sourceLinked="0"/>
        <c:majorTickMark val="out"/>
        <c:minorTickMark val="none"/>
        <c:tickLblPos val="nextTo"/>
        <c:crossAx val="48479061"/>
        <c:crossesAt val="1"/>
        <c:crossBetween val="between"/>
        <c:dispUnits/>
        <c:majorUnit val="5"/>
      </c:valAx>
      <c:spPr>
        <a:solidFill>
          <a:srgbClr val="C0C0C0"/>
        </a:solidFill>
        <a:ln w="12700">
          <a:solidFill>
            <a:srgbClr val="808080"/>
          </a:solidFill>
        </a:ln>
      </c:spPr>
    </c:plotArea>
    <c:plotVisOnly val="1"/>
    <c:dispBlanksAs val="gap"/>
    <c:showDLblsOverMax val="0"/>
  </c:chart>
  <c:txPr>
    <a:bodyPr vert="horz" rot="0"/>
    <a:lstStyle/>
    <a:p>
      <a:pPr>
        <a:defRPr lang="en-US" cap="none" sz="195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Cost Profile</a:t>
            </a:r>
          </a:p>
        </c:rich>
      </c:tx>
      <c:layout/>
      <c:spPr>
        <a:noFill/>
        <a:ln>
          <a:noFill/>
        </a:ln>
      </c:spPr>
    </c:title>
    <c:plotArea>
      <c:layout>
        <c:manualLayout>
          <c:xMode val="edge"/>
          <c:yMode val="edge"/>
          <c:x val="0.0845"/>
          <c:y val="0.112"/>
          <c:w val="0.8815"/>
          <c:h val="0.869"/>
        </c:manualLayout>
      </c:layout>
      <c:lineChart>
        <c:grouping val="standard"/>
        <c:varyColors val="0"/>
        <c:ser>
          <c:idx val="2"/>
          <c:order val="0"/>
          <c:tx>
            <c:strRef>
              <c:f>'BA BO Profile'!$E$40:$K$40</c:f>
              <c:strCache>
                <c:ptCount val="1"/>
                <c:pt idx="0">
                  <c:v>FY03 FY04 FY05 FY06 FY07 FY08 FY09</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dPt>
            <c:idx val="1"/>
            <c:spPr>
              <a:ln w="38100">
                <a:solidFill>
                  <a:srgbClr val="000000"/>
                </a:solidFill>
              </a:ln>
            </c:spPr>
            <c:marker>
              <c:size val="7"/>
              <c:spPr>
                <a:solidFill>
                  <a:srgbClr val="000000"/>
                </a:solidFill>
                <a:ln>
                  <a:solidFill>
                    <a:srgbClr val="000000"/>
                  </a:solidFill>
                </a:ln>
              </c:spPr>
            </c:marker>
          </c:dPt>
          <c:dPt>
            <c:idx val="2"/>
            <c:spPr>
              <a:ln w="38100">
                <a:solidFill>
                  <a:srgbClr val="000000"/>
                </a:solidFill>
              </a:ln>
            </c:spPr>
            <c:marker>
              <c:size val="7"/>
              <c:spPr>
                <a:solidFill>
                  <a:srgbClr val="000000"/>
                </a:solidFill>
                <a:ln>
                  <a:solidFill>
                    <a:srgbClr val="000000"/>
                  </a:solidFill>
                </a:ln>
              </c:spPr>
            </c:marker>
          </c:dPt>
          <c:dPt>
            <c:idx val="3"/>
            <c:spPr>
              <a:ln w="38100">
                <a:solidFill>
                  <a:srgbClr val="000000"/>
                </a:solidFill>
              </a:ln>
            </c:spPr>
            <c:marker>
              <c:size val="7"/>
              <c:spPr>
                <a:solidFill>
                  <a:srgbClr val="000000"/>
                </a:solidFill>
                <a:ln>
                  <a:solidFill>
                    <a:srgbClr val="000000"/>
                  </a:solidFill>
                </a:ln>
              </c:spPr>
            </c:marker>
          </c:dPt>
          <c:dPt>
            <c:idx val="4"/>
            <c:spPr>
              <a:ln w="38100">
                <a:solidFill>
                  <a:srgbClr val="FF0000"/>
                </a:solidFill>
                <a:prstDash val="dash"/>
              </a:ln>
            </c:spPr>
            <c:marker>
              <c:size val="7"/>
              <c:spPr>
                <a:solidFill>
                  <a:srgbClr val="FF0000"/>
                </a:solidFill>
                <a:ln>
                  <a:solidFill>
                    <a:srgbClr val="FF0000"/>
                  </a:solidFill>
                </a:ln>
              </c:spPr>
            </c:marker>
          </c:dPt>
          <c:dPt>
            <c:idx val="5"/>
            <c:spPr>
              <a:ln w="38100">
                <a:solidFill>
                  <a:srgbClr val="FF0000"/>
                </a:solidFill>
                <a:prstDash val="dash"/>
              </a:ln>
            </c:spPr>
            <c:marker>
              <c:size val="7"/>
              <c:spPr>
                <a:solidFill>
                  <a:srgbClr val="FF0000"/>
                </a:solidFill>
                <a:ln>
                  <a:solidFill>
                    <a:srgbClr val="FF0000"/>
                  </a:solidFill>
                </a:ln>
              </c:spPr>
            </c:marker>
          </c:dPt>
          <c:dPt>
            <c:idx val="6"/>
            <c:spPr>
              <a:ln w="3175">
                <a:noFill/>
              </a:ln>
            </c:spPr>
            <c:marker>
              <c:symbol val="none"/>
            </c:marker>
          </c:dPt>
          <c:dLbls>
            <c:numFmt formatCode="General" sourceLinked="1"/>
            <c:showLegendKey val="0"/>
            <c:showVal val="0"/>
            <c:showBubbleSize val="0"/>
            <c:showCatName val="0"/>
            <c:showSerName val="0"/>
            <c:showLeaderLines val="1"/>
            <c:showPercent val="0"/>
          </c:dLbls>
          <c:val>
            <c:numRef>
              <c:f>'BA BO Profile'!$E$48:$K$48</c:f>
              <c:numCache>
                <c:ptCount val="7"/>
                <c:pt idx="0">
                  <c:v>0</c:v>
                </c:pt>
                <c:pt idx="1">
                  <c:v>0</c:v>
                </c:pt>
                <c:pt idx="2">
                  <c:v>0</c:v>
                </c:pt>
                <c:pt idx="3">
                  <c:v>0</c:v>
                </c:pt>
                <c:pt idx="4">
                  <c:v>0</c:v>
                </c:pt>
                <c:pt idx="5">
                  <c:v>0</c:v>
                </c:pt>
                <c:pt idx="6">
                  <c:v>0</c:v>
                </c:pt>
              </c:numCache>
            </c:numRef>
          </c:val>
          <c:smooth val="0"/>
        </c:ser>
        <c:axId val="42212807"/>
        <c:axId val="63794168"/>
      </c:lineChart>
      <c:catAx>
        <c:axId val="42212807"/>
        <c:scaling>
          <c:orientation val="minMax"/>
        </c:scaling>
        <c:axPos val="b"/>
        <c:majorGridlines/>
        <c:delete val="0"/>
        <c:numFmt formatCode="General" sourceLinked="1"/>
        <c:majorTickMark val="out"/>
        <c:minorTickMark val="none"/>
        <c:tickLblPos val="nextTo"/>
        <c:crossAx val="63794168"/>
        <c:crosses val="autoZero"/>
        <c:auto val="1"/>
        <c:lblOffset val="100"/>
        <c:noMultiLvlLbl val="0"/>
      </c:catAx>
      <c:valAx>
        <c:axId val="63794168"/>
        <c:scaling>
          <c:orientation val="minMax"/>
          <c:max val="105"/>
        </c:scaling>
        <c:axPos val="l"/>
        <c:title>
          <c:tx>
            <c:rich>
              <a:bodyPr vert="horz" rot="-5400000" anchor="ctr"/>
              <a:lstStyle/>
              <a:p>
                <a:pPr algn="ctr">
                  <a:defRPr/>
                </a:pPr>
                <a:r>
                  <a:rPr lang="en-US" cap="none" sz="1400" b="1" i="0" u="none" baseline="0">
                    <a:latin typeface="Arial"/>
                    <a:ea typeface="Arial"/>
                    <a:cs typeface="Arial"/>
                  </a:rPr>
                  <a:t>$M</a:t>
                </a:r>
              </a:p>
            </c:rich>
          </c:tx>
          <c:layout/>
          <c:overlay val="0"/>
          <c:spPr>
            <a:noFill/>
            <a:ln>
              <a:noFill/>
            </a:ln>
          </c:spPr>
        </c:title>
        <c:majorGridlines/>
        <c:delete val="0"/>
        <c:numFmt formatCode="General" sourceLinked="1"/>
        <c:majorTickMark val="out"/>
        <c:minorTickMark val="none"/>
        <c:tickLblPos val="nextTo"/>
        <c:crossAx val="42212807"/>
        <c:crossesAt val="1"/>
        <c:crossBetween val="midCat"/>
        <c:dispUnits/>
        <c:majorUnit val="5"/>
      </c:valAx>
      <c:spPr>
        <a:blipFill>
          <a:blip r:embed="rId1"/>
          <a:srcRect/>
          <a:tile sx="100000" sy="100000" flip="none" algn="tl"/>
        </a:blipFill>
        <a:ln w="12700">
          <a:solidFill>
            <a:srgbClr val="808080"/>
          </a:solidFill>
        </a:ln>
      </c:spPr>
    </c:plotArea>
    <c:plotVisOnly val="1"/>
    <c:dispBlanksAs val="gap"/>
    <c:showDLblsOverMax val="0"/>
  </c:chart>
  <c:spPr>
    <a:ln w="3175">
      <a:noFill/>
    </a:ln>
  </c:spPr>
  <c:txPr>
    <a:bodyPr vert="horz" rot="0"/>
    <a:lstStyle/>
    <a:p>
      <a:pPr>
        <a:defRPr lang="en-US" cap="none" sz="14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w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123825</xdr:colOff>
      <xdr:row>30</xdr:row>
      <xdr:rowOff>19050</xdr:rowOff>
    </xdr:from>
    <xdr:to>
      <xdr:col>17</xdr:col>
      <xdr:colOff>238125</xdr:colOff>
      <xdr:row>30</xdr:row>
      <xdr:rowOff>133350</xdr:rowOff>
    </xdr:to>
    <xdr:pic>
      <xdr:nvPicPr>
        <xdr:cNvPr id="1" name="Picture 1"/>
        <xdr:cNvPicPr preferRelativeResize="1">
          <a:picLocks noChangeAspect="1"/>
        </xdr:cNvPicPr>
      </xdr:nvPicPr>
      <xdr:blipFill>
        <a:blip r:embed="rId1"/>
        <a:stretch>
          <a:fillRect/>
        </a:stretch>
      </xdr:blipFill>
      <xdr:spPr>
        <a:xfrm>
          <a:off x="13601700" y="6667500"/>
          <a:ext cx="114300" cy="114300"/>
        </a:xfrm>
        <a:prstGeom prst="rect">
          <a:avLst/>
        </a:prstGeom>
        <a:noFill/>
        <a:ln w="9525" cmpd="sng">
          <a:noFill/>
        </a:ln>
      </xdr:spPr>
    </xdr:pic>
    <xdr:clientData/>
  </xdr:twoCellAnchor>
  <xdr:twoCellAnchor editAs="oneCell">
    <xdr:from>
      <xdr:col>7</xdr:col>
      <xdr:colOff>266700</xdr:colOff>
      <xdr:row>15</xdr:row>
      <xdr:rowOff>9525</xdr:rowOff>
    </xdr:from>
    <xdr:to>
      <xdr:col>7</xdr:col>
      <xdr:colOff>619125</xdr:colOff>
      <xdr:row>15</xdr:row>
      <xdr:rowOff>342900</xdr:rowOff>
    </xdr:to>
    <xdr:pic>
      <xdr:nvPicPr>
        <xdr:cNvPr id="2" name="Picture 3"/>
        <xdr:cNvPicPr preferRelativeResize="1">
          <a:picLocks noChangeAspect="1"/>
        </xdr:cNvPicPr>
      </xdr:nvPicPr>
      <xdr:blipFill>
        <a:blip r:embed="rId2"/>
        <a:stretch>
          <a:fillRect/>
        </a:stretch>
      </xdr:blipFill>
      <xdr:spPr>
        <a:xfrm>
          <a:off x="6677025" y="2971800"/>
          <a:ext cx="352425" cy="333375"/>
        </a:xfrm>
        <a:prstGeom prst="rect">
          <a:avLst/>
        </a:prstGeom>
        <a:noFill/>
        <a:ln w="9525" cmpd="sng">
          <a:noFill/>
        </a:ln>
      </xdr:spPr>
    </xdr:pic>
    <xdr:clientData/>
  </xdr:twoCellAnchor>
  <xdr:twoCellAnchor>
    <xdr:from>
      <xdr:col>9</xdr:col>
      <xdr:colOff>314325</xdr:colOff>
      <xdr:row>18</xdr:row>
      <xdr:rowOff>104775</xdr:rowOff>
    </xdr:from>
    <xdr:to>
      <xdr:col>9</xdr:col>
      <xdr:colOff>533400</xdr:colOff>
      <xdr:row>18</xdr:row>
      <xdr:rowOff>295275</xdr:rowOff>
    </xdr:to>
    <xdr:sp>
      <xdr:nvSpPr>
        <xdr:cNvPr id="3" name="Rectangle 4"/>
        <xdr:cNvSpPr>
          <a:spLocks/>
        </xdr:cNvSpPr>
      </xdr:nvSpPr>
      <xdr:spPr>
        <a:xfrm>
          <a:off x="8382000" y="4124325"/>
          <a:ext cx="219075" cy="1905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238125</xdr:colOff>
      <xdr:row>21</xdr:row>
      <xdr:rowOff>9525</xdr:rowOff>
    </xdr:from>
    <xdr:to>
      <xdr:col>7</xdr:col>
      <xdr:colOff>590550</xdr:colOff>
      <xdr:row>25</xdr:row>
      <xdr:rowOff>333375</xdr:rowOff>
    </xdr:to>
    <xdr:pic>
      <xdr:nvPicPr>
        <xdr:cNvPr id="4" name="Picture 5"/>
        <xdr:cNvPicPr preferRelativeResize="1">
          <a:picLocks noChangeAspect="1"/>
        </xdr:cNvPicPr>
      </xdr:nvPicPr>
      <xdr:blipFill>
        <a:blip r:embed="rId2"/>
        <a:stretch>
          <a:fillRect/>
        </a:stretch>
      </xdr:blipFill>
      <xdr:spPr>
        <a:xfrm>
          <a:off x="6648450" y="5076825"/>
          <a:ext cx="352425" cy="333375"/>
        </a:xfrm>
        <a:prstGeom prst="rect">
          <a:avLst/>
        </a:prstGeom>
        <a:noFill/>
        <a:ln w="9525" cmpd="sng">
          <a:noFill/>
        </a:ln>
      </xdr:spPr>
    </xdr:pic>
    <xdr:clientData/>
  </xdr:twoCellAnchor>
  <xdr:twoCellAnchor editAs="oneCell">
    <xdr:from>
      <xdr:col>7</xdr:col>
      <xdr:colOff>257175</xdr:colOff>
      <xdr:row>20</xdr:row>
      <xdr:rowOff>9525</xdr:rowOff>
    </xdr:from>
    <xdr:to>
      <xdr:col>7</xdr:col>
      <xdr:colOff>609600</xdr:colOff>
      <xdr:row>20</xdr:row>
      <xdr:rowOff>342900</xdr:rowOff>
    </xdr:to>
    <xdr:pic>
      <xdr:nvPicPr>
        <xdr:cNvPr id="5" name="Picture 6"/>
        <xdr:cNvPicPr preferRelativeResize="1">
          <a:picLocks noChangeAspect="1"/>
        </xdr:cNvPicPr>
      </xdr:nvPicPr>
      <xdr:blipFill>
        <a:blip r:embed="rId2"/>
        <a:stretch>
          <a:fillRect/>
        </a:stretch>
      </xdr:blipFill>
      <xdr:spPr>
        <a:xfrm>
          <a:off x="6667500" y="4733925"/>
          <a:ext cx="352425" cy="333375"/>
        </a:xfrm>
        <a:prstGeom prst="rect">
          <a:avLst/>
        </a:prstGeom>
        <a:noFill/>
        <a:ln w="9525" cmpd="sng">
          <a:noFill/>
        </a:ln>
      </xdr:spPr>
    </xdr:pic>
    <xdr:clientData/>
  </xdr:twoCellAnchor>
  <xdr:twoCellAnchor editAs="oneCell">
    <xdr:from>
      <xdr:col>7</xdr:col>
      <xdr:colOff>266700</xdr:colOff>
      <xdr:row>18</xdr:row>
      <xdr:rowOff>19050</xdr:rowOff>
    </xdr:from>
    <xdr:to>
      <xdr:col>7</xdr:col>
      <xdr:colOff>619125</xdr:colOff>
      <xdr:row>18</xdr:row>
      <xdr:rowOff>352425</xdr:rowOff>
    </xdr:to>
    <xdr:pic>
      <xdr:nvPicPr>
        <xdr:cNvPr id="6" name="Picture 7"/>
        <xdr:cNvPicPr preferRelativeResize="1">
          <a:picLocks noChangeAspect="1"/>
        </xdr:cNvPicPr>
      </xdr:nvPicPr>
      <xdr:blipFill>
        <a:blip r:embed="rId2"/>
        <a:stretch>
          <a:fillRect/>
        </a:stretch>
      </xdr:blipFill>
      <xdr:spPr>
        <a:xfrm>
          <a:off x="6677025" y="4038600"/>
          <a:ext cx="352425" cy="333375"/>
        </a:xfrm>
        <a:prstGeom prst="rect">
          <a:avLst/>
        </a:prstGeom>
        <a:noFill/>
        <a:ln w="9525" cmpd="sng">
          <a:noFill/>
        </a:ln>
      </xdr:spPr>
    </xdr:pic>
    <xdr:clientData/>
  </xdr:twoCellAnchor>
  <xdr:twoCellAnchor editAs="oneCell">
    <xdr:from>
      <xdr:col>7</xdr:col>
      <xdr:colOff>276225</xdr:colOff>
      <xdr:row>17</xdr:row>
      <xdr:rowOff>9525</xdr:rowOff>
    </xdr:from>
    <xdr:to>
      <xdr:col>7</xdr:col>
      <xdr:colOff>628650</xdr:colOff>
      <xdr:row>17</xdr:row>
      <xdr:rowOff>342900</xdr:rowOff>
    </xdr:to>
    <xdr:pic>
      <xdr:nvPicPr>
        <xdr:cNvPr id="7" name="Picture 8"/>
        <xdr:cNvPicPr preferRelativeResize="1">
          <a:picLocks noChangeAspect="1"/>
        </xdr:cNvPicPr>
      </xdr:nvPicPr>
      <xdr:blipFill>
        <a:blip r:embed="rId2"/>
        <a:stretch>
          <a:fillRect/>
        </a:stretch>
      </xdr:blipFill>
      <xdr:spPr>
        <a:xfrm>
          <a:off x="6686550" y="3676650"/>
          <a:ext cx="352425" cy="333375"/>
        </a:xfrm>
        <a:prstGeom prst="rect">
          <a:avLst/>
        </a:prstGeom>
        <a:noFill/>
        <a:ln w="9525" cmpd="sng">
          <a:noFill/>
        </a:ln>
      </xdr:spPr>
    </xdr:pic>
    <xdr:clientData/>
  </xdr:twoCellAnchor>
  <xdr:twoCellAnchor editAs="oneCell">
    <xdr:from>
      <xdr:col>7</xdr:col>
      <xdr:colOff>266700</xdr:colOff>
      <xdr:row>16</xdr:row>
      <xdr:rowOff>9525</xdr:rowOff>
    </xdr:from>
    <xdr:to>
      <xdr:col>7</xdr:col>
      <xdr:colOff>619125</xdr:colOff>
      <xdr:row>16</xdr:row>
      <xdr:rowOff>342900</xdr:rowOff>
    </xdr:to>
    <xdr:pic>
      <xdr:nvPicPr>
        <xdr:cNvPr id="8" name="Picture 9"/>
        <xdr:cNvPicPr preferRelativeResize="1">
          <a:picLocks noChangeAspect="1"/>
        </xdr:cNvPicPr>
      </xdr:nvPicPr>
      <xdr:blipFill>
        <a:blip r:embed="rId2"/>
        <a:stretch>
          <a:fillRect/>
        </a:stretch>
      </xdr:blipFill>
      <xdr:spPr>
        <a:xfrm>
          <a:off x="6677025" y="3324225"/>
          <a:ext cx="352425" cy="333375"/>
        </a:xfrm>
        <a:prstGeom prst="rect">
          <a:avLst/>
        </a:prstGeom>
        <a:noFill/>
        <a:ln w="9525" cmpd="sng">
          <a:noFill/>
        </a:ln>
      </xdr:spPr>
    </xdr:pic>
    <xdr:clientData/>
  </xdr:twoCellAnchor>
  <xdr:twoCellAnchor editAs="oneCell">
    <xdr:from>
      <xdr:col>7</xdr:col>
      <xdr:colOff>257175</xdr:colOff>
      <xdr:row>24</xdr:row>
      <xdr:rowOff>9525</xdr:rowOff>
    </xdr:from>
    <xdr:to>
      <xdr:col>7</xdr:col>
      <xdr:colOff>609600</xdr:colOff>
      <xdr:row>25</xdr:row>
      <xdr:rowOff>333375</xdr:rowOff>
    </xdr:to>
    <xdr:pic>
      <xdr:nvPicPr>
        <xdr:cNvPr id="9" name="Picture 10"/>
        <xdr:cNvPicPr preferRelativeResize="1">
          <a:picLocks noChangeAspect="1"/>
        </xdr:cNvPicPr>
      </xdr:nvPicPr>
      <xdr:blipFill>
        <a:blip r:embed="rId2"/>
        <a:stretch>
          <a:fillRect/>
        </a:stretch>
      </xdr:blipFill>
      <xdr:spPr>
        <a:xfrm>
          <a:off x="6667500" y="5076825"/>
          <a:ext cx="352425" cy="333375"/>
        </a:xfrm>
        <a:prstGeom prst="rect">
          <a:avLst/>
        </a:prstGeom>
        <a:noFill/>
        <a:ln w="9525" cmpd="sng">
          <a:noFill/>
        </a:ln>
      </xdr:spPr>
    </xdr:pic>
    <xdr:clientData/>
  </xdr:twoCellAnchor>
  <xdr:twoCellAnchor editAs="oneCell">
    <xdr:from>
      <xdr:col>7</xdr:col>
      <xdr:colOff>247650</xdr:colOff>
      <xdr:row>25</xdr:row>
      <xdr:rowOff>9525</xdr:rowOff>
    </xdr:from>
    <xdr:to>
      <xdr:col>7</xdr:col>
      <xdr:colOff>600075</xdr:colOff>
      <xdr:row>25</xdr:row>
      <xdr:rowOff>342900</xdr:rowOff>
    </xdr:to>
    <xdr:pic>
      <xdr:nvPicPr>
        <xdr:cNvPr id="10" name="Picture 11"/>
        <xdr:cNvPicPr preferRelativeResize="1">
          <a:picLocks noChangeAspect="1"/>
        </xdr:cNvPicPr>
      </xdr:nvPicPr>
      <xdr:blipFill>
        <a:blip r:embed="rId2"/>
        <a:stretch>
          <a:fillRect/>
        </a:stretch>
      </xdr:blipFill>
      <xdr:spPr>
        <a:xfrm>
          <a:off x="6657975" y="5086350"/>
          <a:ext cx="352425" cy="333375"/>
        </a:xfrm>
        <a:prstGeom prst="rect">
          <a:avLst/>
        </a:prstGeom>
        <a:noFill/>
        <a:ln w="9525" cmpd="sng">
          <a:noFill/>
        </a:ln>
      </xdr:spPr>
    </xdr:pic>
    <xdr:clientData/>
  </xdr:twoCellAnchor>
  <xdr:twoCellAnchor editAs="oneCell">
    <xdr:from>
      <xdr:col>7</xdr:col>
      <xdr:colOff>257175</xdr:colOff>
      <xdr:row>26</xdr:row>
      <xdr:rowOff>9525</xdr:rowOff>
    </xdr:from>
    <xdr:to>
      <xdr:col>7</xdr:col>
      <xdr:colOff>609600</xdr:colOff>
      <xdr:row>26</xdr:row>
      <xdr:rowOff>342900</xdr:rowOff>
    </xdr:to>
    <xdr:pic>
      <xdr:nvPicPr>
        <xdr:cNvPr id="11" name="Picture 12"/>
        <xdr:cNvPicPr preferRelativeResize="1">
          <a:picLocks noChangeAspect="1"/>
        </xdr:cNvPicPr>
      </xdr:nvPicPr>
      <xdr:blipFill>
        <a:blip r:embed="rId2"/>
        <a:stretch>
          <a:fillRect/>
        </a:stretch>
      </xdr:blipFill>
      <xdr:spPr>
        <a:xfrm>
          <a:off x="6667500" y="5438775"/>
          <a:ext cx="352425" cy="333375"/>
        </a:xfrm>
        <a:prstGeom prst="rect">
          <a:avLst/>
        </a:prstGeom>
        <a:noFill/>
        <a:ln w="9525" cmpd="sng">
          <a:noFill/>
        </a:ln>
      </xdr:spPr>
    </xdr:pic>
    <xdr:clientData/>
  </xdr:twoCellAnchor>
  <xdr:twoCellAnchor editAs="oneCell">
    <xdr:from>
      <xdr:col>7</xdr:col>
      <xdr:colOff>266700</xdr:colOff>
      <xdr:row>27</xdr:row>
      <xdr:rowOff>9525</xdr:rowOff>
    </xdr:from>
    <xdr:to>
      <xdr:col>7</xdr:col>
      <xdr:colOff>619125</xdr:colOff>
      <xdr:row>27</xdr:row>
      <xdr:rowOff>342900</xdr:rowOff>
    </xdr:to>
    <xdr:pic>
      <xdr:nvPicPr>
        <xdr:cNvPr id="12" name="Picture 13"/>
        <xdr:cNvPicPr preferRelativeResize="1">
          <a:picLocks noChangeAspect="1"/>
        </xdr:cNvPicPr>
      </xdr:nvPicPr>
      <xdr:blipFill>
        <a:blip r:embed="rId2"/>
        <a:stretch>
          <a:fillRect/>
        </a:stretch>
      </xdr:blipFill>
      <xdr:spPr>
        <a:xfrm>
          <a:off x="6677025" y="5791200"/>
          <a:ext cx="352425" cy="333375"/>
        </a:xfrm>
        <a:prstGeom prst="rect">
          <a:avLst/>
        </a:prstGeom>
        <a:noFill/>
        <a:ln w="9525" cmpd="sng">
          <a:noFill/>
        </a:ln>
      </xdr:spPr>
    </xdr:pic>
    <xdr:clientData/>
  </xdr:twoCellAnchor>
  <xdr:twoCellAnchor editAs="oneCell">
    <xdr:from>
      <xdr:col>7</xdr:col>
      <xdr:colOff>266700</xdr:colOff>
      <xdr:row>28</xdr:row>
      <xdr:rowOff>9525</xdr:rowOff>
    </xdr:from>
    <xdr:to>
      <xdr:col>7</xdr:col>
      <xdr:colOff>619125</xdr:colOff>
      <xdr:row>28</xdr:row>
      <xdr:rowOff>342900</xdr:rowOff>
    </xdr:to>
    <xdr:pic>
      <xdr:nvPicPr>
        <xdr:cNvPr id="13" name="Picture 14"/>
        <xdr:cNvPicPr preferRelativeResize="1">
          <a:picLocks noChangeAspect="1"/>
        </xdr:cNvPicPr>
      </xdr:nvPicPr>
      <xdr:blipFill>
        <a:blip r:embed="rId2"/>
        <a:stretch>
          <a:fillRect/>
        </a:stretch>
      </xdr:blipFill>
      <xdr:spPr>
        <a:xfrm>
          <a:off x="6677025" y="6143625"/>
          <a:ext cx="352425" cy="333375"/>
        </a:xfrm>
        <a:prstGeom prst="rect">
          <a:avLst/>
        </a:prstGeom>
        <a:noFill/>
        <a:ln w="9525" cmpd="sng">
          <a:noFill/>
        </a:ln>
      </xdr:spPr>
    </xdr:pic>
    <xdr:clientData/>
  </xdr:twoCellAnchor>
  <xdr:twoCellAnchor editAs="oneCell">
    <xdr:from>
      <xdr:col>7</xdr:col>
      <xdr:colOff>285750</xdr:colOff>
      <xdr:row>22</xdr:row>
      <xdr:rowOff>19050</xdr:rowOff>
    </xdr:from>
    <xdr:to>
      <xdr:col>7</xdr:col>
      <xdr:colOff>638175</xdr:colOff>
      <xdr:row>25</xdr:row>
      <xdr:rowOff>333375</xdr:rowOff>
    </xdr:to>
    <xdr:pic>
      <xdr:nvPicPr>
        <xdr:cNvPr id="14" name="Picture 15"/>
        <xdr:cNvPicPr preferRelativeResize="1">
          <a:picLocks noChangeAspect="1"/>
        </xdr:cNvPicPr>
      </xdr:nvPicPr>
      <xdr:blipFill>
        <a:blip r:embed="rId2"/>
        <a:stretch>
          <a:fillRect/>
        </a:stretch>
      </xdr:blipFill>
      <xdr:spPr>
        <a:xfrm>
          <a:off x="6696075" y="5076825"/>
          <a:ext cx="352425" cy="333375"/>
        </a:xfrm>
        <a:prstGeom prst="rect">
          <a:avLst/>
        </a:prstGeom>
        <a:noFill/>
        <a:ln w="9525" cmpd="sng">
          <a:noFill/>
        </a:ln>
      </xdr:spPr>
    </xdr:pic>
    <xdr:clientData/>
  </xdr:twoCellAnchor>
  <xdr:twoCellAnchor editAs="oneCell">
    <xdr:from>
      <xdr:col>7</xdr:col>
      <xdr:colOff>266700</xdr:colOff>
      <xdr:row>23</xdr:row>
      <xdr:rowOff>9525</xdr:rowOff>
    </xdr:from>
    <xdr:to>
      <xdr:col>7</xdr:col>
      <xdr:colOff>619125</xdr:colOff>
      <xdr:row>25</xdr:row>
      <xdr:rowOff>333375</xdr:rowOff>
    </xdr:to>
    <xdr:pic>
      <xdr:nvPicPr>
        <xdr:cNvPr id="15" name="Picture 16"/>
        <xdr:cNvPicPr preferRelativeResize="1">
          <a:picLocks noChangeAspect="1"/>
        </xdr:cNvPicPr>
      </xdr:nvPicPr>
      <xdr:blipFill>
        <a:blip r:embed="rId2"/>
        <a:stretch>
          <a:fillRect/>
        </a:stretch>
      </xdr:blipFill>
      <xdr:spPr>
        <a:xfrm>
          <a:off x="6677025" y="5076825"/>
          <a:ext cx="352425" cy="333375"/>
        </a:xfrm>
        <a:prstGeom prst="rect">
          <a:avLst/>
        </a:prstGeom>
        <a:noFill/>
        <a:ln w="9525" cmpd="sng">
          <a:noFill/>
        </a:ln>
      </xdr:spPr>
    </xdr:pic>
    <xdr:clientData/>
  </xdr:twoCellAnchor>
  <xdr:twoCellAnchor editAs="oneCell">
    <xdr:from>
      <xdr:col>8</xdr:col>
      <xdr:colOff>266700</xdr:colOff>
      <xdr:row>15</xdr:row>
      <xdr:rowOff>9525</xdr:rowOff>
    </xdr:from>
    <xdr:to>
      <xdr:col>8</xdr:col>
      <xdr:colOff>619125</xdr:colOff>
      <xdr:row>15</xdr:row>
      <xdr:rowOff>342900</xdr:rowOff>
    </xdr:to>
    <xdr:pic>
      <xdr:nvPicPr>
        <xdr:cNvPr id="16" name="Picture 17"/>
        <xdr:cNvPicPr preferRelativeResize="1">
          <a:picLocks noChangeAspect="1"/>
        </xdr:cNvPicPr>
      </xdr:nvPicPr>
      <xdr:blipFill>
        <a:blip r:embed="rId2"/>
        <a:stretch>
          <a:fillRect/>
        </a:stretch>
      </xdr:blipFill>
      <xdr:spPr>
        <a:xfrm>
          <a:off x="7505700" y="2971800"/>
          <a:ext cx="352425" cy="333375"/>
        </a:xfrm>
        <a:prstGeom prst="rect">
          <a:avLst/>
        </a:prstGeom>
        <a:noFill/>
        <a:ln w="9525" cmpd="sng">
          <a:noFill/>
        </a:ln>
      </xdr:spPr>
    </xdr:pic>
    <xdr:clientData/>
  </xdr:twoCellAnchor>
  <xdr:twoCellAnchor editAs="oneCell">
    <xdr:from>
      <xdr:col>8</xdr:col>
      <xdr:colOff>295275</xdr:colOff>
      <xdr:row>16</xdr:row>
      <xdr:rowOff>9525</xdr:rowOff>
    </xdr:from>
    <xdr:to>
      <xdr:col>8</xdr:col>
      <xdr:colOff>647700</xdr:colOff>
      <xdr:row>16</xdr:row>
      <xdr:rowOff>342900</xdr:rowOff>
    </xdr:to>
    <xdr:pic>
      <xdr:nvPicPr>
        <xdr:cNvPr id="17" name="Picture 18"/>
        <xdr:cNvPicPr preferRelativeResize="1">
          <a:picLocks noChangeAspect="1"/>
        </xdr:cNvPicPr>
      </xdr:nvPicPr>
      <xdr:blipFill>
        <a:blip r:embed="rId2"/>
        <a:stretch>
          <a:fillRect/>
        </a:stretch>
      </xdr:blipFill>
      <xdr:spPr>
        <a:xfrm>
          <a:off x="7534275" y="3324225"/>
          <a:ext cx="352425" cy="333375"/>
        </a:xfrm>
        <a:prstGeom prst="rect">
          <a:avLst/>
        </a:prstGeom>
        <a:noFill/>
        <a:ln w="9525" cmpd="sng">
          <a:noFill/>
        </a:ln>
      </xdr:spPr>
    </xdr:pic>
    <xdr:clientData/>
  </xdr:twoCellAnchor>
  <xdr:twoCellAnchor editAs="oneCell">
    <xdr:from>
      <xdr:col>9</xdr:col>
      <xdr:colOff>247650</xdr:colOff>
      <xdr:row>17</xdr:row>
      <xdr:rowOff>9525</xdr:rowOff>
    </xdr:from>
    <xdr:to>
      <xdr:col>9</xdr:col>
      <xdr:colOff>600075</xdr:colOff>
      <xdr:row>17</xdr:row>
      <xdr:rowOff>342900</xdr:rowOff>
    </xdr:to>
    <xdr:pic>
      <xdr:nvPicPr>
        <xdr:cNvPr id="18" name="Picture 19"/>
        <xdr:cNvPicPr preferRelativeResize="1">
          <a:picLocks noChangeAspect="1"/>
        </xdr:cNvPicPr>
      </xdr:nvPicPr>
      <xdr:blipFill>
        <a:blip r:embed="rId2"/>
        <a:stretch>
          <a:fillRect/>
        </a:stretch>
      </xdr:blipFill>
      <xdr:spPr>
        <a:xfrm>
          <a:off x="8315325" y="3676650"/>
          <a:ext cx="352425" cy="333375"/>
        </a:xfrm>
        <a:prstGeom prst="rect">
          <a:avLst/>
        </a:prstGeom>
        <a:noFill/>
        <a:ln w="9525" cmpd="sng">
          <a:noFill/>
        </a:ln>
      </xdr:spPr>
    </xdr:pic>
    <xdr:clientData/>
  </xdr:twoCellAnchor>
  <xdr:twoCellAnchor editAs="oneCell">
    <xdr:from>
      <xdr:col>9</xdr:col>
      <xdr:colOff>257175</xdr:colOff>
      <xdr:row>16</xdr:row>
      <xdr:rowOff>19050</xdr:rowOff>
    </xdr:from>
    <xdr:to>
      <xdr:col>9</xdr:col>
      <xdr:colOff>609600</xdr:colOff>
      <xdr:row>16</xdr:row>
      <xdr:rowOff>352425</xdr:rowOff>
    </xdr:to>
    <xdr:pic>
      <xdr:nvPicPr>
        <xdr:cNvPr id="19" name="Picture 20"/>
        <xdr:cNvPicPr preferRelativeResize="1">
          <a:picLocks noChangeAspect="1"/>
        </xdr:cNvPicPr>
      </xdr:nvPicPr>
      <xdr:blipFill>
        <a:blip r:embed="rId2"/>
        <a:stretch>
          <a:fillRect/>
        </a:stretch>
      </xdr:blipFill>
      <xdr:spPr>
        <a:xfrm>
          <a:off x="8324850" y="3333750"/>
          <a:ext cx="352425" cy="333375"/>
        </a:xfrm>
        <a:prstGeom prst="rect">
          <a:avLst/>
        </a:prstGeom>
        <a:noFill/>
        <a:ln w="9525" cmpd="sng">
          <a:noFill/>
        </a:ln>
      </xdr:spPr>
    </xdr:pic>
    <xdr:clientData/>
  </xdr:twoCellAnchor>
  <xdr:twoCellAnchor editAs="oneCell">
    <xdr:from>
      <xdr:col>9</xdr:col>
      <xdr:colOff>266700</xdr:colOff>
      <xdr:row>15</xdr:row>
      <xdr:rowOff>19050</xdr:rowOff>
    </xdr:from>
    <xdr:to>
      <xdr:col>9</xdr:col>
      <xdr:colOff>619125</xdr:colOff>
      <xdr:row>15</xdr:row>
      <xdr:rowOff>352425</xdr:rowOff>
    </xdr:to>
    <xdr:pic>
      <xdr:nvPicPr>
        <xdr:cNvPr id="20" name="Picture 21"/>
        <xdr:cNvPicPr preferRelativeResize="1">
          <a:picLocks noChangeAspect="1"/>
        </xdr:cNvPicPr>
      </xdr:nvPicPr>
      <xdr:blipFill>
        <a:blip r:embed="rId2"/>
        <a:stretch>
          <a:fillRect/>
        </a:stretch>
      </xdr:blipFill>
      <xdr:spPr>
        <a:xfrm>
          <a:off x="8334375" y="2981325"/>
          <a:ext cx="352425" cy="333375"/>
        </a:xfrm>
        <a:prstGeom prst="rect">
          <a:avLst/>
        </a:prstGeom>
        <a:noFill/>
        <a:ln w="9525" cmpd="sng">
          <a:noFill/>
        </a:ln>
      </xdr:spPr>
    </xdr:pic>
    <xdr:clientData/>
  </xdr:twoCellAnchor>
  <xdr:twoCellAnchor editAs="oneCell">
    <xdr:from>
      <xdr:col>8</xdr:col>
      <xdr:colOff>247650</xdr:colOff>
      <xdr:row>18</xdr:row>
      <xdr:rowOff>9525</xdr:rowOff>
    </xdr:from>
    <xdr:to>
      <xdr:col>8</xdr:col>
      <xdr:colOff>600075</xdr:colOff>
      <xdr:row>18</xdr:row>
      <xdr:rowOff>342900</xdr:rowOff>
    </xdr:to>
    <xdr:pic>
      <xdr:nvPicPr>
        <xdr:cNvPr id="21" name="Picture 22"/>
        <xdr:cNvPicPr preferRelativeResize="1">
          <a:picLocks noChangeAspect="1"/>
        </xdr:cNvPicPr>
      </xdr:nvPicPr>
      <xdr:blipFill>
        <a:blip r:embed="rId2"/>
        <a:stretch>
          <a:fillRect/>
        </a:stretch>
      </xdr:blipFill>
      <xdr:spPr>
        <a:xfrm>
          <a:off x="7486650" y="4029075"/>
          <a:ext cx="352425" cy="333375"/>
        </a:xfrm>
        <a:prstGeom prst="rect">
          <a:avLst/>
        </a:prstGeom>
        <a:noFill/>
        <a:ln w="9525" cmpd="sng">
          <a:noFill/>
        </a:ln>
      </xdr:spPr>
    </xdr:pic>
    <xdr:clientData/>
  </xdr:twoCellAnchor>
  <xdr:twoCellAnchor editAs="oneCell">
    <xdr:from>
      <xdr:col>8</xdr:col>
      <xdr:colOff>257175</xdr:colOff>
      <xdr:row>17</xdr:row>
      <xdr:rowOff>19050</xdr:rowOff>
    </xdr:from>
    <xdr:to>
      <xdr:col>8</xdr:col>
      <xdr:colOff>609600</xdr:colOff>
      <xdr:row>17</xdr:row>
      <xdr:rowOff>352425</xdr:rowOff>
    </xdr:to>
    <xdr:pic>
      <xdr:nvPicPr>
        <xdr:cNvPr id="22" name="Picture 23"/>
        <xdr:cNvPicPr preferRelativeResize="1">
          <a:picLocks noChangeAspect="1"/>
        </xdr:cNvPicPr>
      </xdr:nvPicPr>
      <xdr:blipFill>
        <a:blip r:embed="rId2"/>
        <a:stretch>
          <a:fillRect/>
        </a:stretch>
      </xdr:blipFill>
      <xdr:spPr>
        <a:xfrm>
          <a:off x="7496175" y="3686175"/>
          <a:ext cx="352425" cy="333375"/>
        </a:xfrm>
        <a:prstGeom prst="rect">
          <a:avLst/>
        </a:prstGeom>
        <a:noFill/>
        <a:ln w="9525" cmpd="sng">
          <a:noFill/>
        </a:ln>
      </xdr:spPr>
    </xdr:pic>
    <xdr:clientData/>
  </xdr:twoCellAnchor>
  <xdr:twoCellAnchor>
    <xdr:from>
      <xdr:col>9</xdr:col>
      <xdr:colOff>304800</xdr:colOff>
      <xdr:row>24</xdr:row>
      <xdr:rowOff>76200</xdr:rowOff>
    </xdr:from>
    <xdr:to>
      <xdr:col>9</xdr:col>
      <xdr:colOff>523875</xdr:colOff>
      <xdr:row>24</xdr:row>
      <xdr:rowOff>266700</xdr:rowOff>
    </xdr:to>
    <xdr:sp>
      <xdr:nvSpPr>
        <xdr:cNvPr id="23" name="Rectangle 25"/>
        <xdr:cNvSpPr>
          <a:spLocks/>
        </xdr:cNvSpPr>
      </xdr:nvSpPr>
      <xdr:spPr>
        <a:xfrm>
          <a:off x="8372475" y="5076825"/>
          <a:ext cx="219075" cy="0"/>
        </a:xfrm>
        <a:prstGeom prst="rect">
          <a:avLst/>
        </a:prstGeom>
        <a:solidFill>
          <a:srgbClr val="FFFF99"/>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314325</xdr:colOff>
      <xdr:row>25</xdr:row>
      <xdr:rowOff>76200</xdr:rowOff>
    </xdr:from>
    <xdr:to>
      <xdr:col>9</xdr:col>
      <xdr:colOff>533400</xdr:colOff>
      <xdr:row>25</xdr:row>
      <xdr:rowOff>266700</xdr:rowOff>
    </xdr:to>
    <xdr:sp>
      <xdr:nvSpPr>
        <xdr:cNvPr id="24" name="Rectangle 26"/>
        <xdr:cNvSpPr>
          <a:spLocks/>
        </xdr:cNvSpPr>
      </xdr:nvSpPr>
      <xdr:spPr>
        <a:xfrm>
          <a:off x="8382000" y="5153025"/>
          <a:ext cx="219075" cy="190500"/>
        </a:xfrm>
        <a:prstGeom prst="rect">
          <a:avLst/>
        </a:prstGeom>
        <a:solidFill>
          <a:srgbClr val="FFFF99"/>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314325</xdr:colOff>
      <xdr:row>19</xdr:row>
      <xdr:rowOff>95250</xdr:rowOff>
    </xdr:from>
    <xdr:to>
      <xdr:col>9</xdr:col>
      <xdr:colOff>533400</xdr:colOff>
      <xdr:row>19</xdr:row>
      <xdr:rowOff>285750</xdr:rowOff>
    </xdr:to>
    <xdr:sp>
      <xdr:nvSpPr>
        <xdr:cNvPr id="25" name="Rectangle 27"/>
        <xdr:cNvSpPr>
          <a:spLocks/>
        </xdr:cNvSpPr>
      </xdr:nvSpPr>
      <xdr:spPr>
        <a:xfrm>
          <a:off x="8382000" y="4467225"/>
          <a:ext cx="219075" cy="190500"/>
        </a:xfrm>
        <a:prstGeom prst="rect">
          <a:avLst/>
        </a:prstGeom>
        <a:solidFill>
          <a:srgbClr val="00FF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304800</xdr:colOff>
      <xdr:row>27</xdr:row>
      <xdr:rowOff>76200</xdr:rowOff>
    </xdr:from>
    <xdr:to>
      <xdr:col>9</xdr:col>
      <xdr:colOff>523875</xdr:colOff>
      <xdr:row>27</xdr:row>
      <xdr:rowOff>266700</xdr:rowOff>
    </xdr:to>
    <xdr:sp>
      <xdr:nvSpPr>
        <xdr:cNvPr id="26" name="Rectangle 28"/>
        <xdr:cNvSpPr>
          <a:spLocks/>
        </xdr:cNvSpPr>
      </xdr:nvSpPr>
      <xdr:spPr>
        <a:xfrm>
          <a:off x="8372475" y="5857875"/>
          <a:ext cx="219075" cy="1905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304800</xdr:colOff>
      <xdr:row>28</xdr:row>
      <xdr:rowOff>76200</xdr:rowOff>
    </xdr:from>
    <xdr:to>
      <xdr:col>9</xdr:col>
      <xdr:colOff>523875</xdr:colOff>
      <xdr:row>28</xdr:row>
      <xdr:rowOff>266700</xdr:rowOff>
    </xdr:to>
    <xdr:sp>
      <xdr:nvSpPr>
        <xdr:cNvPr id="27" name="Rectangle 29"/>
        <xdr:cNvSpPr>
          <a:spLocks/>
        </xdr:cNvSpPr>
      </xdr:nvSpPr>
      <xdr:spPr>
        <a:xfrm>
          <a:off x="8372475" y="6210300"/>
          <a:ext cx="219075" cy="1905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304800</xdr:colOff>
      <xdr:row>21</xdr:row>
      <xdr:rowOff>47625</xdr:rowOff>
    </xdr:from>
    <xdr:to>
      <xdr:col>9</xdr:col>
      <xdr:colOff>523875</xdr:colOff>
      <xdr:row>21</xdr:row>
      <xdr:rowOff>238125</xdr:rowOff>
    </xdr:to>
    <xdr:sp>
      <xdr:nvSpPr>
        <xdr:cNvPr id="28" name="Rectangle 30"/>
        <xdr:cNvSpPr>
          <a:spLocks/>
        </xdr:cNvSpPr>
      </xdr:nvSpPr>
      <xdr:spPr>
        <a:xfrm>
          <a:off x="8372475" y="5076825"/>
          <a:ext cx="219075" cy="0"/>
        </a:xfrm>
        <a:prstGeom prst="rect">
          <a:avLst/>
        </a:prstGeom>
        <a:solidFill>
          <a:srgbClr val="FFFF99"/>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314325</xdr:colOff>
      <xdr:row>22</xdr:row>
      <xdr:rowOff>47625</xdr:rowOff>
    </xdr:from>
    <xdr:to>
      <xdr:col>9</xdr:col>
      <xdr:colOff>533400</xdr:colOff>
      <xdr:row>22</xdr:row>
      <xdr:rowOff>238125</xdr:rowOff>
    </xdr:to>
    <xdr:sp>
      <xdr:nvSpPr>
        <xdr:cNvPr id="29" name="Rectangle 31"/>
        <xdr:cNvSpPr>
          <a:spLocks/>
        </xdr:cNvSpPr>
      </xdr:nvSpPr>
      <xdr:spPr>
        <a:xfrm>
          <a:off x="8382000" y="5076825"/>
          <a:ext cx="219075" cy="0"/>
        </a:xfrm>
        <a:prstGeom prst="rect">
          <a:avLst/>
        </a:prstGeom>
        <a:solidFill>
          <a:srgbClr val="FFFF99"/>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314325</xdr:colOff>
      <xdr:row>23</xdr:row>
      <xdr:rowOff>66675</xdr:rowOff>
    </xdr:from>
    <xdr:to>
      <xdr:col>9</xdr:col>
      <xdr:colOff>533400</xdr:colOff>
      <xdr:row>23</xdr:row>
      <xdr:rowOff>257175</xdr:rowOff>
    </xdr:to>
    <xdr:sp>
      <xdr:nvSpPr>
        <xdr:cNvPr id="30" name="Rectangle 32"/>
        <xdr:cNvSpPr>
          <a:spLocks/>
        </xdr:cNvSpPr>
      </xdr:nvSpPr>
      <xdr:spPr>
        <a:xfrm>
          <a:off x="8382000" y="5076825"/>
          <a:ext cx="219075" cy="0"/>
        </a:xfrm>
        <a:prstGeom prst="rect">
          <a:avLst/>
        </a:prstGeom>
        <a:solidFill>
          <a:srgbClr val="FFFF99"/>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314325</xdr:colOff>
      <xdr:row>20</xdr:row>
      <xdr:rowOff>76200</xdr:rowOff>
    </xdr:from>
    <xdr:to>
      <xdr:col>9</xdr:col>
      <xdr:colOff>533400</xdr:colOff>
      <xdr:row>20</xdr:row>
      <xdr:rowOff>266700</xdr:rowOff>
    </xdr:to>
    <xdr:sp>
      <xdr:nvSpPr>
        <xdr:cNvPr id="31" name="Rectangle 33"/>
        <xdr:cNvSpPr>
          <a:spLocks/>
        </xdr:cNvSpPr>
      </xdr:nvSpPr>
      <xdr:spPr>
        <a:xfrm>
          <a:off x="8382000" y="4800600"/>
          <a:ext cx="219075" cy="190500"/>
        </a:xfrm>
        <a:prstGeom prst="rect">
          <a:avLst/>
        </a:prstGeom>
        <a:solidFill>
          <a:srgbClr val="FFFF99"/>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16</xdr:row>
      <xdr:rowOff>323850</xdr:rowOff>
    </xdr:from>
    <xdr:to>
      <xdr:col>18</xdr:col>
      <xdr:colOff>0</xdr:colOff>
      <xdr:row>28</xdr:row>
      <xdr:rowOff>180975</xdr:rowOff>
    </xdr:to>
    <xdr:sp>
      <xdr:nvSpPr>
        <xdr:cNvPr id="32" name="Line 34"/>
        <xdr:cNvSpPr>
          <a:spLocks/>
        </xdr:cNvSpPr>
      </xdr:nvSpPr>
      <xdr:spPr>
        <a:xfrm>
          <a:off x="14087475" y="3638550"/>
          <a:ext cx="0" cy="2676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24</xdr:row>
      <xdr:rowOff>76200</xdr:rowOff>
    </xdr:from>
    <xdr:to>
      <xdr:col>8</xdr:col>
      <xdr:colOff>523875</xdr:colOff>
      <xdr:row>24</xdr:row>
      <xdr:rowOff>266700</xdr:rowOff>
    </xdr:to>
    <xdr:sp>
      <xdr:nvSpPr>
        <xdr:cNvPr id="33" name="Rectangle 35"/>
        <xdr:cNvSpPr>
          <a:spLocks/>
        </xdr:cNvSpPr>
      </xdr:nvSpPr>
      <xdr:spPr>
        <a:xfrm>
          <a:off x="7543800" y="5076825"/>
          <a:ext cx="219075" cy="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314325</xdr:colOff>
      <xdr:row>25</xdr:row>
      <xdr:rowOff>76200</xdr:rowOff>
    </xdr:from>
    <xdr:to>
      <xdr:col>8</xdr:col>
      <xdr:colOff>533400</xdr:colOff>
      <xdr:row>25</xdr:row>
      <xdr:rowOff>266700</xdr:rowOff>
    </xdr:to>
    <xdr:sp>
      <xdr:nvSpPr>
        <xdr:cNvPr id="34" name="Rectangle 36"/>
        <xdr:cNvSpPr>
          <a:spLocks/>
        </xdr:cNvSpPr>
      </xdr:nvSpPr>
      <xdr:spPr>
        <a:xfrm>
          <a:off x="7553325" y="5153025"/>
          <a:ext cx="219075" cy="1905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314325</xdr:colOff>
      <xdr:row>26</xdr:row>
      <xdr:rowOff>76200</xdr:rowOff>
    </xdr:from>
    <xdr:to>
      <xdr:col>8</xdr:col>
      <xdr:colOff>533400</xdr:colOff>
      <xdr:row>26</xdr:row>
      <xdr:rowOff>266700</xdr:rowOff>
    </xdr:to>
    <xdr:sp>
      <xdr:nvSpPr>
        <xdr:cNvPr id="35" name="Rectangle 37"/>
        <xdr:cNvSpPr>
          <a:spLocks/>
        </xdr:cNvSpPr>
      </xdr:nvSpPr>
      <xdr:spPr>
        <a:xfrm>
          <a:off x="7553325" y="5505450"/>
          <a:ext cx="219075" cy="1905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27</xdr:row>
      <xdr:rowOff>76200</xdr:rowOff>
    </xdr:from>
    <xdr:to>
      <xdr:col>8</xdr:col>
      <xdr:colOff>523875</xdr:colOff>
      <xdr:row>27</xdr:row>
      <xdr:rowOff>266700</xdr:rowOff>
    </xdr:to>
    <xdr:sp>
      <xdr:nvSpPr>
        <xdr:cNvPr id="36" name="Rectangle 38"/>
        <xdr:cNvSpPr>
          <a:spLocks/>
        </xdr:cNvSpPr>
      </xdr:nvSpPr>
      <xdr:spPr>
        <a:xfrm>
          <a:off x="7543800" y="5857875"/>
          <a:ext cx="219075" cy="1905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28</xdr:row>
      <xdr:rowOff>76200</xdr:rowOff>
    </xdr:from>
    <xdr:to>
      <xdr:col>8</xdr:col>
      <xdr:colOff>523875</xdr:colOff>
      <xdr:row>28</xdr:row>
      <xdr:rowOff>266700</xdr:rowOff>
    </xdr:to>
    <xdr:sp>
      <xdr:nvSpPr>
        <xdr:cNvPr id="37" name="Rectangle 39"/>
        <xdr:cNvSpPr>
          <a:spLocks/>
        </xdr:cNvSpPr>
      </xdr:nvSpPr>
      <xdr:spPr>
        <a:xfrm>
          <a:off x="7543800" y="6210300"/>
          <a:ext cx="219075" cy="1905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21</xdr:row>
      <xdr:rowOff>47625</xdr:rowOff>
    </xdr:from>
    <xdr:to>
      <xdr:col>8</xdr:col>
      <xdr:colOff>523875</xdr:colOff>
      <xdr:row>21</xdr:row>
      <xdr:rowOff>238125</xdr:rowOff>
    </xdr:to>
    <xdr:sp>
      <xdr:nvSpPr>
        <xdr:cNvPr id="38" name="Rectangle 40"/>
        <xdr:cNvSpPr>
          <a:spLocks/>
        </xdr:cNvSpPr>
      </xdr:nvSpPr>
      <xdr:spPr>
        <a:xfrm>
          <a:off x="7543800" y="5076825"/>
          <a:ext cx="219075" cy="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314325</xdr:colOff>
      <xdr:row>22</xdr:row>
      <xdr:rowOff>47625</xdr:rowOff>
    </xdr:from>
    <xdr:to>
      <xdr:col>8</xdr:col>
      <xdr:colOff>533400</xdr:colOff>
      <xdr:row>22</xdr:row>
      <xdr:rowOff>238125</xdr:rowOff>
    </xdr:to>
    <xdr:sp>
      <xdr:nvSpPr>
        <xdr:cNvPr id="39" name="Rectangle 41"/>
        <xdr:cNvSpPr>
          <a:spLocks/>
        </xdr:cNvSpPr>
      </xdr:nvSpPr>
      <xdr:spPr>
        <a:xfrm>
          <a:off x="7553325" y="5076825"/>
          <a:ext cx="219075" cy="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314325</xdr:colOff>
      <xdr:row>23</xdr:row>
      <xdr:rowOff>66675</xdr:rowOff>
    </xdr:from>
    <xdr:to>
      <xdr:col>8</xdr:col>
      <xdr:colOff>533400</xdr:colOff>
      <xdr:row>23</xdr:row>
      <xdr:rowOff>257175</xdr:rowOff>
    </xdr:to>
    <xdr:sp>
      <xdr:nvSpPr>
        <xdr:cNvPr id="40" name="Rectangle 42"/>
        <xdr:cNvSpPr>
          <a:spLocks/>
        </xdr:cNvSpPr>
      </xdr:nvSpPr>
      <xdr:spPr>
        <a:xfrm>
          <a:off x="7553325" y="5076825"/>
          <a:ext cx="219075" cy="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314325</xdr:colOff>
      <xdr:row>20</xdr:row>
      <xdr:rowOff>76200</xdr:rowOff>
    </xdr:from>
    <xdr:to>
      <xdr:col>8</xdr:col>
      <xdr:colOff>533400</xdr:colOff>
      <xdr:row>20</xdr:row>
      <xdr:rowOff>266700</xdr:rowOff>
    </xdr:to>
    <xdr:sp>
      <xdr:nvSpPr>
        <xdr:cNvPr id="41" name="Rectangle 43"/>
        <xdr:cNvSpPr>
          <a:spLocks/>
        </xdr:cNvSpPr>
      </xdr:nvSpPr>
      <xdr:spPr>
        <a:xfrm>
          <a:off x="7553325" y="4800600"/>
          <a:ext cx="219075" cy="1905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257175</xdr:colOff>
      <xdr:row>19</xdr:row>
      <xdr:rowOff>9525</xdr:rowOff>
    </xdr:from>
    <xdr:to>
      <xdr:col>7</xdr:col>
      <xdr:colOff>609600</xdr:colOff>
      <xdr:row>19</xdr:row>
      <xdr:rowOff>342900</xdr:rowOff>
    </xdr:to>
    <xdr:pic>
      <xdr:nvPicPr>
        <xdr:cNvPr id="42" name="Picture 44"/>
        <xdr:cNvPicPr preferRelativeResize="1">
          <a:picLocks noChangeAspect="1"/>
        </xdr:cNvPicPr>
      </xdr:nvPicPr>
      <xdr:blipFill>
        <a:blip r:embed="rId2"/>
        <a:stretch>
          <a:fillRect/>
        </a:stretch>
      </xdr:blipFill>
      <xdr:spPr>
        <a:xfrm>
          <a:off x="6667500" y="4381500"/>
          <a:ext cx="352425" cy="333375"/>
        </a:xfrm>
        <a:prstGeom prst="rect">
          <a:avLst/>
        </a:prstGeom>
        <a:noFill/>
        <a:ln w="9525" cmpd="sng">
          <a:noFill/>
        </a:ln>
      </xdr:spPr>
    </xdr:pic>
    <xdr:clientData/>
  </xdr:twoCellAnchor>
  <xdr:twoCellAnchor>
    <xdr:from>
      <xdr:col>9</xdr:col>
      <xdr:colOff>314325</xdr:colOff>
      <xdr:row>26</xdr:row>
      <xdr:rowOff>76200</xdr:rowOff>
    </xdr:from>
    <xdr:to>
      <xdr:col>9</xdr:col>
      <xdr:colOff>533400</xdr:colOff>
      <xdr:row>26</xdr:row>
      <xdr:rowOff>266700</xdr:rowOff>
    </xdr:to>
    <xdr:sp>
      <xdr:nvSpPr>
        <xdr:cNvPr id="43" name="Rectangle 45"/>
        <xdr:cNvSpPr>
          <a:spLocks/>
        </xdr:cNvSpPr>
      </xdr:nvSpPr>
      <xdr:spPr>
        <a:xfrm>
          <a:off x="8382000" y="5505450"/>
          <a:ext cx="219075" cy="190500"/>
        </a:xfrm>
        <a:prstGeom prst="rect">
          <a:avLst/>
        </a:prstGeom>
        <a:solidFill>
          <a:srgbClr val="FFFF99"/>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314325</xdr:colOff>
      <xdr:row>19</xdr:row>
      <xdr:rowOff>76200</xdr:rowOff>
    </xdr:from>
    <xdr:to>
      <xdr:col>8</xdr:col>
      <xdr:colOff>533400</xdr:colOff>
      <xdr:row>19</xdr:row>
      <xdr:rowOff>266700</xdr:rowOff>
    </xdr:to>
    <xdr:sp>
      <xdr:nvSpPr>
        <xdr:cNvPr id="44" name="Rectangle 46"/>
        <xdr:cNvSpPr>
          <a:spLocks/>
        </xdr:cNvSpPr>
      </xdr:nvSpPr>
      <xdr:spPr>
        <a:xfrm>
          <a:off x="7553325" y="4448175"/>
          <a:ext cx="219075" cy="190500"/>
        </a:xfrm>
        <a:prstGeom prst="rect">
          <a:avLst/>
        </a:prstGeom>
        <a:solidFill>
          <a:srgbClr val="00FF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447675</xdr:colOff>
      <xdr:row>19</xdr:row>
      <xdr:rowOff>295275</xdr:rowOff>
    </xdr:from>
    <xdr:to>
      <xdr:col>18</xdr:col>
      <xdr:colOff>190500</xdr:colOff>
      <xdr:row>20</xdr:row>
      <xdr:rowOff>276225</xdr:rowOff>
    </xdr:to>
    <xdr:pic>
      <xdr:nvPicPr>
        <xdr:cNvPr id="45" name="Picture 47"/>
        <xdr:cNvPicPr preferRelativeResize="1">
          <a:picLocks noChangeAspect="1"/>
        </xdr:cNvPicPr>
      </xdr:nvPicPr>
      <xdr:blipFill>
        <a:blip r:embed="rId2"/>
        <a:stretch>
          <a:fillRect/>
        </a:stretch>
      </xdr:blipFill>
      <xdr:spPr>
        <a:xfrm>
          <a:off x="13925550" y="4667250"/>
          <a:ext cx="352425" cy="333375"/>
        </a:xfrm>
        <a:prstGeom prst="rect">
          <a:avLst/>
        </a:prstGeom>
        <a:solidFill>
          <a:srgbClr val="CCFFCC"/>
        </a:solid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15</xdr:row>
      <xdr:rowOff>38100</xdr:rowOff>
    </xdr:from>
    <xdr:to>
      <xdr:col>11</xdr:col>
      <xdr:colOff>476250</xdr:colOff>
      <xdr:row>38</xdr:row>
      <xdr:rowOff>47625</xdr:rowOff>
    </xdr:to>
    <xdr:graphicFrame>
      <xdr:nvGraphicFramePr>
        <xdr:cNvPr id="1" name="Chart 1"/>
        <xdr:cNvGraphicFramePr/>
      </xdr:nvGraphicFramePr>
      <xdr:xfrm>
        <a:off x="4381500" y="2466975"/>
        <a:ext cx="8791575" cy="4848225"/>
      </xdr:xfrm>
      <a:graphic>
        <a:graphicData uri="http://schemas.openxmlformats.org/drawingml/2006/chart">
          <c:chart xmlns:c="http://schemas.openxmlformats.org/drawingml/2006/chart" r:id="rId1"/>
        </a:graphicData>
      </a:graphic>
    </xdr:graphicFrame>
    <xdr:clientData/>
  </xdr:twoCellAnchor>
  <xdr:twoCellAnchor>
    <xdr:from>
      <xdr:col>4</xdr:col>
      <xdr:colOff>1095375</xdr:colOff>
      <xdr:row>35</xdr:row>
      <xdr:rowOff>66675</xdr:rowOff>
    </xdr:from>
    <xdr:to>
      <xdr:col>11</xdr:col>
      <xdr:colOff>647700</xdr:colOff>
      <xdr:row>37</xdr:row>
      <xdr:rowOff>19050</xdr:rowOff>
    </xdr:to>
    <xdr:sp>
      <xdr:nvSpPr>
        <xdr:cNvPr id="2" name="TextBox 2"/>
        <xdr:cNvSpPr txBox="1">
          <a:spLocks noChangeArrowheads="1"/>
        </xdr:cNvSpPr>
      </xdr:nvSpPr>
      <xdr:spPr>
        <a:xfrm>
          <a:off x="5257800" y="6848475"/>
          <a:ext cx="8086725" cy="276225"/>
        </a:xfrm>
        <a:prstGeom prst="rect">
          <a:avLst/>
        </a:prstGeom>
        <a:solidFill>
          <a:srgbClr val="FFFFFF"/>
        </a:solidFill>
        <a:ln w="9525" cmpd="sng">
          <a:noFill/>
        </a:ln>
      </xdr:spPr>
      <xdr:txBody>
        <a:bodyPr vertOverflow="clip" wrap="square"/>
        <a:p>
          <a:pPr algn="l">
            <a:defRPr/>
          </a:pPr>
          <a:r>
            <a:rPr lang="en-US" cap="none" sz="1600" b="1" i="0" u="none" baseline="0">
              <a:latin typeface="Arial"/>
              <a:ea typeface="Arial"/>
              <a:cs typeface="Arial"/>
            </a:rPr>
            <a:t>    </a:t>
          </a:r>
        </a:p>
      </xdr:txBody>
    </xdr:sp>
    <xdr:clientData/>
  </xdr:twoCellAnchor>
  <xdr:twoCellAnchor>
    <xdr:from>
      <xdr:col>5</xdr:col>
      <xdr:colOff>752475</xdr:colOff>
      <xdr:row>28</xdr:row>
      <xdr:rowOff>85725</xdr:rowOff>
    </xdr:from>
    <xdr:to>
      <xdr:col>6</xdr:col>
      <xdr:colOff>333375</xdr:colOff>
      <xdr:row>30</xdr:row>
      <xdr:rowOff>0</xdr:rowOff>
    </xdr:to>
    <xdr:sp>
      <xdr:nvSpPr>
        <xdr:cNvPr id="3" name="TextBox 3"/>
        <xdr:cNvSpPr txBox="1">
          <a:spLocks noChangeArrowheads="1"/>
        </xdr:cNvSpPr>
      </xdr:nvSpPr>
      <xdr:spPr>
        <a:xfrm>
          <a:off x="6134100" y="5648325"/>
          <a:ext cx="800100" cy="323850"/>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$23.8</a:t>
          </a:r>
        </a:p>
      </xdr:txBody>
    </xdr:sp>
    <xdr:clientData/>
  </xdr:twoCellAnchor>
  <xdr:twoCellAnchor>
    <xdr:from>
      <xdr:col>8</xdr:col>
      <xdr:colOff>381000</xdr:colOff>
      <xdr:row>21</xdr:row>
      <xdr:rowOff>0</xdr:rowOff>
    </xdr:from>
    <xdr:to>
      <xdr:col>9</xdr:col>
      <xdr:colOff>28575</xdr:colOff>
      <xdr:row>22</xdr:row>
      <xdr:rowOff>200025</xdr:rowOff>
    </xdr:to>
    <xdr:sp>
      <xdr:nvSpPr>
        <xdr:cNvPr id="4" name="TextBox 4"/>
        <xdr:cNvSpPr txBox="1">
          <a:spLocks noChangeArrowheads="1"/>
        </xdr:cNvSpPr>
      </xdr:nvSpPr>
      <xdr:spPr>
        <a:xfrm>
          <a:off x="9420225" y="3829050"/>
          <a:ext cx="866775" cy="447675"/>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$74.2</a:t>
          </a:r>
        </a:p>
      </xdr:txBody>
    </xdr:sp>
    <xdr:clientData/>
  </xdr:twoCellAnchor>
  <xdr:twoCellAnchor>
    <xdr:from>
      <xdr:col>7</xdr:col>
      <xdr:colOff>628650</xdr:colOff>
      <xdr:row>23</xdr:row>
      <xdr:rowOff>66675</xdr:rowOff>
    </xdr:from>
    <xdr:to>
      <xdr:col>8</xdr:col>
      <xdr:colOff>152400</xdr:colOff>
      <xdr:row>25</xdr:row>
      <xdr:rowOff>38100</xdr:rowOff>
    </xdr:to>
    <xdr:sp>
      <xdr:nvSpPr>
        <xdr:cNvPr id="5" name="TextBox 5"/>
        <xdr:cNvSpPr txBox="1">
          <a:spLocks noChangeArrowheads="1"/>
        </xdr:cNvSpPr>
      </xdr:nvSpPr>
      <xdr:spPr>
        <a:xfrm>
          <a:off x="8448675" y="4391025"/>
          <a:ext cx="742950" cy="466725"/>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$58.3</a:t>
          </a:r>
        </a:p>
      </xdr:txBody>
    </xdr:sp>
    <xdr:clientData/>
  </xdr:twoCellAnchor>
  <xdr:twoCellAnchor>
    <xdr:from>
      <xdr:col>6</xdr:col>
      <xdr:colOff>638175</xdr:colOff>
      <xdr:row>25</xdr:row>
      <xdr:rowOff>142875</xdr:rowOff>
    </xdr:from>
    <xdr:to>
      <xdr:col>7</xdr:col>
      <xdr:colOff>314325</xdr:colOff>
      <xdr:row>27</xdr:row>
      <xdr:rowOff>114300</xdr:rowOff>
    </xdr:to>
    <xdr:sp>
      <xdr:nvSpPr>
        <xdr:cNvPr id="6" name="TextBox 6"/>
        <xdr:cNvSpPr txBox="1">
          <a:spLocks noChangeArrowheads="1"/>
        </xdr:cNvSpPr>
      </xdr:nvSpPr>
      <xdr:spPr>
        <a:xfrm>
          <a:off x="7239000" y="4962525"/>
          <a:ext cx="895350" cy="466725"/>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$41.3</a:t>
          </a:r>
        </a:p>
      </xdr:txBody>
    </xdr:sp>
    <xdr:clientData/>
  </xdr:twoCellAnchor>
  <xdr:twoCellAnchor>
    <xdr:from>
      <xdr:col>11</xdr:col>
      <xdr:colOff>104775</xdr:colOff>
      <xdr:row>19</xdr:row>
      <xdr:rowOff>114300</xdr:rowOff>
    </xdr:from>
    <xdr:to>
      <xdr:col>11</xdr:col>
      <xdr:colOff>847725</xdr:colOff>
      <xdr:row>20</xdr:row>
      <xdr:rowOff>180975</xdr:rowOff>
    </xdr:to>
    <xdr:sp>
      <xdr:nvSpPr>
        <xdr:cNvPr id="7" name="TextBox 8"/>
        <xdr:cNvSpPr txBox="1">
          <a:spLocks noChangeArrowheads="1"/>
        </xdr:cNvSpPr>
      </xdr:nvSpPr>
      <xdr:spPr>
        <a:xfrm>
          <a:off x="12801600" y="3448050"/>
          <a:ext cx="742950" cy="314325"/>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$92.4</a:t>
          </a:r>
        </a:p>
      </xdr:txBody>
    </xdr:sp>
    <xdr:clientData/>
  </xdr:twoCellAnchor>
  <xdr:twoCellAnchor>
    <xdr:from>
      <xdr:col>8</xdr:col>
      <xdr:colOff>742950</xdr:colOff>
      <xdr:row>19</xdr:row>
      <xdr:rowOff>209550</xdr:rowOff>
    </xdr:from>
    <xdr:to>
      <xdr:col>9</xdr:col>
      <xdr:colOff>381000</xdr:colOff>
      <xdr:row>21</xdr:row>
      <xdr:rowOff>161925</xdr:rowOff>
    </xdr:to>
    <xdr:sp>
      <xdr:nvSpPr>
        <xdr:cNvPr id="8" name="TextBox 9"/>
        <xdr:cNvSpPr txBox="1">
          <a:spLocks noChangeArrowheads="1"/>
        </xdr:cNvSpPr>
      </xdr:nvSpPr>
      <xdr:spPr>
        <a:xfrm>
          <a:off x="9782175" y="3543300"/>
          <a:ext cx="857250" cy="447675"/>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$90.1</a:t>
          </a:r>
        </a:p>
      </xdr:txBody>
    </xdr:sp>
    <xdr:clientData/>
  </xdr:twoCellAnchor>
  <xdr:twoCellAnchor>
    <xdr:from>
      <xdr:col>12</xdr:col>
      <xdr:colOff>228600</xdr:colOff>
      <xdr:row>20</xdr:row>
      <xdr:rowOff>19050</xdr:rowOff>
    </xdr:from>
    <xdr:to>
      <xdr:col>20</xdr:col>
      <xdr:colOff>352425</xdr:colOff>
      <xdr:row>30</xdr:row>
      <xdr:rowOff>0</xdr:rowOff>
    </xdr:to>
    <xdr:sp>
      <xdr:nvSpPr>
        <xdr:cNvPr id="9" name="Polygon 11"/>
        <xdr:cNvSpPr>
          <a:spLocks/>
        </xdr:cNvSpPr>
      </xdr:nvSpPr>
      <xdr:spPr>
        <a:xfrm>
          <a:off x="14087475" y="3600450"/>
          <a:ext cx="6829425" cy="2371725"/>
        </a:xfrm>
        <a:custGeom>
          <a:pathLst>
            <a:path h="272" w="722">
              <a:moveTo>
                <a:pt x="0" y="272"/>
              </a:moveTo>
              <a:lnTo>
                <a:pt x="121" y="272"/>
              </a:lnTo>
              <a:lnTo>
                <a:pt x="121" y="204"/>
              </a:lnTo>
              <a:lnTo>
                <a:pt x="241" y="204"/>
              </a:lnTo>
              <a:lnTo>
                <a:pt x="242" y="136"/>
              </a:lnTo>
              <a:lnTo>
                <a:pt x="360" y="136"/>
              </a:lnTo>
              <a:lnTo>
                <a:pt x="360" y="74"/>
              </a:lnTo>
              <a:lnTo>
                <a:pt x="481" y="73"/>
              </a:lnTo>
              <a:lnTo>
                <a:pt x="481" y="8"/>
              </a:lnTo>
              <a:lnTo>
                <a:pt x="603" y="8"/>
              </a:lnTo>
              <a:lnTo>
                <a:pt x="603" y="0"/>
              </a:lnTo>
              <a:lnTo>
                <a:pt x="722" y="0"/>
              </a:lnTo>
            </a:path>
          </a:pathLst>
        </a:cu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790575</xdr:colOff>
      <xdr:row>33</xdr:row>
      <xdr:rowOff>28575</xdr:rowOff>
    </xdr:from>
    <xdr:ext cx="514350" cy="295275"/>
    <xdr:sp>
      <xdr:nvSpPr>
        <xdr:cNvPr id="10" name="TextBox 14"/>
        <xdr:cNvSpPr txBox="1">
          <a:spLocks noChangeArrowheads="1"/>
        </xdr:cNvSpPr>
      </xdr:nvSpPr>
      <xdr:spPr>
        <a:xfrm>
          <a:off x="6172200" y="6486525"/>
          <a:ext cx="514350" cy="295275"/>
        </a:xfrm>
        <a:prstGeom prst="rect">
          <a:avLst/>
        </a:prstGeom>
        <a:noFill/>
        <a:ln w="9525" cmpd="sng">
          <a:noFill/>
        </a:ln>
      </xdr:spPr>
      <xdr:txBody>
        <a:bodyPr vertOverflow="clip" wrap="square">
          <a:spAutoFit/>
        </a:bodyPr>
        <a:p>
          <a:pPr algn="l">
            <a:defRPr/>
          </a:pPr>
          <a:r>
            <a:rPr lang="en-US" cap="none" sz="1600" b="1" i="0" u="none" baseline="0">
              <a:latin typeface="Arial"/>
              <a:ea typeface="Arial"/>
              <a:cs typeface="Arial"/>
            </a:rPr>
            <a:t>$5.9</a:t>
          </a:r>
        </a:p>
      </xdr:txBody>
    </xdr:sp>
    <xdr:clientData/>
  </xdr:oneCellAnchor>
  <xdr:oneCellAnchor>
    <xdr:from>
      <xdr:col>9</xdr:col>
      <xdr:colOff>333375</xdr:colOff>
      <xdr:row>22</xdr:row>
      <xdr:rowOff>180975</xdr:rowOff>
    </xdr:from>
    <xdr:ext cx="628650" cy="295275"/>
    <xdr:sp>
      <xdr:nvSpPr>
        <xdr:cNvPr id="11" name="TextBox 15"/>
        <xdr:cNvSpPr txBox="1">
          <a:spLocks noChangeArrowheads="1"/>
        </xdr:cNvSpPr>
      </xdr:nvSpPr>
      <xdr:spPr>
        <a:xfrm>
          <a:off x="10591800" y="4257675"/>
          <a:ext cx="628650" cy="295275"/>
        </a:xfrm>
        <a:prstGeom prst="rect">
          <a:avLst/>
        </a:prstGeom>
        <a:noFill/>
        <a:ln w="9525" cmpd="sng">
          <a:noFill/>
        </a:ln>
      </xdr:spPr>
      <xdr:txBody>
        <a:bodyPr vertOverflow="clip" wrap="square">
          <a:spAutoFit/>
        </a:bodyPr>
        <a:p>
          <a:pPr algn="l">
            <a:defRPr/>
          </a:pPr>
          <a:r>
            <a:rPr lang="en-US" cap="none" sz="1600" b="1" i="0" u="none" baseline="0">
              <a:latin typeface="Arial"/>
              <a:ea typeface="Arial"/>
              <a:cs typeface="Arial"/>
            </a:rPr>
            <a:t>$72.7</a:t>
          </a:r>
        </a:p>
      </xdr:txBody>
    </xdr:sp>
    <xdr:clientData/>
  </xdr:oneCellAnchor>
  <xdr:oneCellAnchor>
    <xdr:from>
      <xdr:col>8</xdr:col>
      <xdr:colOff>371475</xdr:colOff>
      <xdr:row>24</xdr:row>
      <xdr:rowOff>28575</xdr:rowOff>
    </xdr:from>
    <xdr:ext cx="628650" cy="295275"/>
    <xdr:sp>
      <xdr:nvSpPr>
        <xdr:cNvPr id="12" name="TextBox 16"/>
        <xdr:cNvSpPr txBox="1">
          <a:spLocks noChangeArrowheads="1"/>
        </xdr:cNvSpPr>
      </xdr:nvSpPr>
      <xdr:spPr>
        <a:xfrm>
          <a:off x="9410700" y="4600575"/>
          <a:ext cx="628650" cy="295275"/>
        </a:xfrm>
        <a:prstGeom prst="rect">
          <a:avLst/>
        </a:prstGeom>
        <a:noFill/>
        <a:ln w="9525" cmpd="sng">
          <a:noFill/>
        </a:ln>
      </xdr:spPr>
      <xdr:txBody>
        <a:bodyPr vertOverflow="clip" wrap="square">
          <a:spAutoFit/>
        </a:bodyPr>
        <a:p>
          <a:pPr algn="l">
            <a:defRPr/>
          </a:pPr>
          <a:r>
            <a:rPr lang="en-US" cap="none" sz="1600" b="1" i="0" u="none" baseline="0">
              <a:latin typeface="Arial"/>
              <a:ea typeface="Arial"/>
              <a:cs typeface="Arial"/>
            </a:rPr>
            <a:t>$57.5</a:t>
          </a:r>
        </a:p>
      </xdr:txBody>
    </xdr:sp>
    <xdr:clientData/>
  </xdr:oneCellAnchor>
  <xdr:oneCellAnchor>
    <xdr:from>
      <xdr:col>7</xdr:col>
      <xdr:colOff>466725</xdr:colOff>
      <xdr:row>27</xdr:row>
      <xdr:rowOff>9525</xdr:rowOff>
    </xdr:from>
    <xdr:ext cx="638175" cy="304800"/>
    <xdr:sp>
      <xdr:nvSpPr>
        <xdr:cNvPr id="13" name="TextBox 17"/>
        <xdr:cNvSpPr txBox="1">
          <a:spLocks noChangeArrowheads="1"/>
        </xdr:cNvSpPr>
      </xdr:nvSpPr>
      <xdr:spPr>
        <a:xfrm>
          <a:off x="8286750" y="5324475"/>
          <a:ext cx="638175" cy="304800"/>
        </a:xfrm>
        <a:prstGeom prst="rect">
          <a:avLst/>
        </a:prstGeom>
        <a:noFill/>
        <a:ln w="9525" cmpd="sng">
          <a:noFill/>
        </a:ln>
      </xdr:spPr>
      <xdr:txBody>
        <a:bodyPr vertOverflow="clip" wrap="square">
          <a:spAutoFit/>
        </a:bodyPr>
        <a:p>
          <a:pPr algn="l">
            <a:defRPr/>
          </a:pPr>
          <a:r>
            <a:rPr lang="en-US" cap="none" sz="1600" b="1" i="0" u="none" baseline="0">
              <a:latin typeface="Arial"/>
              <a:ea typeface="Arial"/>
              <a:cs typeface="Arial"/>
            </a:rPr>
            <a:t>$38.3</a:t>
          </a:r>
        </a:p>
      </xdr:txBody>
    </xdr:sp>
    <xdr:clientData/>
  </xdr:oneCellAnchor>
  <xdr:oneCellAnchor>
    <xdr:from>
      <xdr:col>6</xdr:col>
      <xdr:colOff>523875</xdr:colOff>
      <xdr:row>29</xdr:row>
      <xdr:rowOff>85725</xdr:rowOff>
    </xdr:from>
    <xdr:ext cx="628650" cy="304800"/>
    <xdr:sp>
      <xdr:nvSpPr>
        <xdr:cNvPr id="14" name="TextBox 18"/>
        <xdr:cNvSpPr txBox="1">
          <a:spLocks noChangeArrowheads="1"/>
        </xdr:cNvSpPr>
      </xdr:nvSpPr>
      <xdr:spPr>
        <a:xfrm>
          <a:off x="7124700" y="5895975"/>
          <a:ext cx="628650" cy="304800"/>
        </a:xfrm>
        <a:prstGeom prst="rect">
          <a:avLst/>
        </a:prstGeom>
        <a:noFill/>
        <a:ln w="9525" cmpd="sng">
          <a:noFill/>
        </a:ln>
      </xdr:spPr>
      <xdr:txBody>
        <a:bodyPr vertOverflow="clip" wrap="square">
          <a:spAutoFit/>
        </a:bodyPr>
        <a:p>
          <a:pPr algn="l">
            <a:defRPr/>
          </a:pPr>
          <a:r>
            <a:rPr lang="en-US" cap="none" sz="1600" b="1" i="0" u="none" baseline="0">
              <a:latin typeface="Arial"/>
              <a:ea typeface="Arial"/>
              <a:cs typeface="Arial"/>
            </a:rPr>
            <a:t>$20.2</a:t>
          </a:r>
        </a:p>
      </xdr:txBody>
    </xdr:sp>
    <xdr:clientData/>
  </xdr:oneCellAnchor>
  <xdr:oneCellAnchor>
    <xdr:from>
      <xdr:col>10</xdr:col>
      <xdr:colOff>657225</xdr:colOff>
      <xdr:row>20</xdr:row>
      <xdr:rowOff>219075</xdr:rowOff>
    </xdr:from>
    <xdr:ext cx="638175" cy="285750"/>
    <xdr:sp>
      <xdr:nvSpPr>
        <xdr:cNvPr id="15" name="TextBox 19"/>
        <xdr:cNvSpPr txBox="1">
          <a:spLocks noChangeArrowheads="1"/>
        </xdr:cNvSpPr>
      </xdr:nvSpPr>
      <xdr:spPr>
        <a:xfrm>
          <a:off x="12134850" y="3800475"/>
          <a:ext cx="638175" cy="285750"/>
        </a:xfrm>
        <a:prstGeom prst="rect">
          <a:avLst/>
        </a:prstGeom>
        <a:noFill/>
        <a:ln w="9525" cmpd="sng">
          <a:noFill/>
        </a:ln>
      </xdr:spPr>
      <xdr:txBody>
        <a:bodyPr vertOverflow="clip" wrap="square">
          <a:spAutoFit/>
        </a:bodyPr>
        <a:p>
          <a:pPr algn="l">
            <a:defRPr/>
          </a:pPr>
          <a:r>
            <a:rPr lang="en-US" cap="none" sz="1600" b="1" i="0" u="none" baseline="0">
              <a:latin typeface="Arial"/>
              <a:ea typeface="Arial"/>
              <a:cs typeface="Arial"/>
            </a:rPr>
            <a:t>$87.4</a:t>
          </a:r>
        </a:p>
      </xdr:txBody>
    </xdr:sp>
    <xdr:clientData/>
  </xdr:oneCellAnchor>
  <xdr:oneCellAnchor>
    <xdr:from>
      <xdr:col>9</xdr:col>
      <xdr:colOff>1181100</xdr:colOff>
      <xdr:row>21</xdr:row>
      <xdr:rowOff>142875</xdr:rowOff>
    </xdr:from>
    <xdr:ext cx="638175" cy="295275"/>
    <xdr:sp>
      <xdr:nvSpPr>
        <xdr:cNvPr id="16" name="TextBox 20"/>
        <xdr:cNvSpPr txBox="1">
          <a:spLocks noChangeArrowheads="1"/>
        </xdr:cNvSpPr>
      </xdr:nvSpPr>
      <xdr:spPr>
        <a:xfrm>
          <a:off x="11439525" y="3971925"/>
          <a:ext cx="638175" cy="295275"/>
        </a:xfrm>
        <a:prstGeom prst="rect">
          <a:avLst/>
        </a:prstGeom>
        <a:noFill/>
        <a:ln w="9525" cmpd="sng">
          <a:noFill/>
        </a:ln>
      </xdr:spPr>
      <xdr:txBody>
        <a:bodyPr vertOverflow="clip" wrap="square">
          <a:spAutoFit/>
        </a:bodyPr>
        <a:p>
          <a:pPr algn="l">
            <a:defRPr/>
          </a:pPr>
          <a:r>
            <a:rPr lang="en-US" cap="none" sz="1600" b="1" i="0" u="none" baseline="0">
              <a:latin typeface="Arial"/>
              <a:ea typeface="Arial"/>
              <a:cs typeface="Arial"/>
            </a:rPr>
            <a:t>$85.1</a:t>
          </a:r>
        </a:p>
      </xdr:txBody>
    </xdr:sp>
    <xdr:clientData/>
  </xdr:oneCellAnchor>
  <xdr:twoCellAnchor>
    <xdr:from>
      <xdr:col>10</xdr:col>
      <xdr:colOff>180975</xdr:colOff>
      <xdr:row>20</xdr:row>
      <xdr:rowOff>228600</xdr:rowOff>
    </xdr:from>
    <xdr:to>
      <xdr:col>10</xdr:col>
      <xdr:colOff>657225</xdr:colOff>
      <xdr:row>21</xdr:row>
      <xdr:rowOff>38100</xdr:rowOff>
    </xdr:to>
    <xdr:sp>
      <xdr:nvSpPr>
        <xdr:cNvPr id="17" name="Line 21"/>
        <xdr:cNvSpPr>
          <a:spLocks/>
        </xdr:cNvSpPr>
      </xdr:nvSpPr>
      <xdr:spPr>
        <a:xfrm flipV="1">
          <a:off x="11658600" y="3810000"/>
          <a:ext cx="476250" cy="57150"/>
        </a:xfrm>
        <a:prstGeom prst="line">
          <a:avLst/>
        </a:prstGeom>
        <a:noFill/>
        <a:ln w="19050" cmpd="sng">
          <a:solidFill>
            <a:srgbClr val="FF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619125</xdr:colOff>
      <xdr:row>20</xdr:row>
      <xdr:rowOff>123825</xdr:rowOff>
    </xdr:from>
    <xdr:to>
      <xdr:col>10</xdr:col>
      <xdr:colOff>762000</xdr:colOff>
      <xdr:row>20</xdr:row>
      <xdr:rowOff>238125</xdr:rowOff>
    </xdr:to>
    <xdr:sp>
      <xdr:nvSpPr>
        <xdr:cNvPr id="18" name="AutoShape 22"/>
        <xdr:cNvSpPr>
          <a:spLocks/>
        </xdr:cNvSpPr>
      </xdr:nvSpPr>
      <xdr:spPr>
        <a:xfrm>
          <a:off x="12096750" y="3705225"/>
          <a:ext cx="142875" cy="114300"/>
        </a:xfrm>
        <a:prstGeom prst="triangl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180975</xdr:colOff>
      <xdr:row>18</xdr:row>
      <xdr:rowOff>104775</xdr:rowOff>
    </xdr:from>
    <xdr:to>
      <xdr:col>11</xdr:col>
      <xdr:colOff>85725</xdr:colOff>
      <xdr:row>20</xdr:row>
      <xdr:rowOff>9525</xdr:rowOff>
    </xdr:to>
    <xdr:sp>
      <xdr:nvSpPr>
        <xdr:cNvPr id="19" name="AutoShape 23"/>
        <xdr:cNvSpPr>
          <a:spLocks/>
        </xdr:cNvSpPr>
      </xdr:nvSpPr>
      <xdr:spPr>
        <a:xfrm>
          <a:off x="11658600" y="3190875"/>
          <a:ext cx="1123950" cy="400050"/>
        </a:xfrm>
        <a:prstGeom prst="rect">
          <a:avLst/>
        </a:prstGeom>
        <a:noFill/>
        <a:ln w="25400" cmpd="sng">
          <a:solidFill>
            <a:srgbClr val="0000FF"/>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552450</xdr:colOff>
      <xdr:row>24</xdr:row>
      <xdr:rowOff>142875</xdr:rowOff>
    </xdr:from>
    <xdr:to>
      <xdr:col>14</xdr:col>
      <xdr:colOff>476250</xdr:colOff>
      <xdr:row>25</xdr:row>
      <xdr:rowOff>114300</xdr:rowOff>
    </xdr:to>
    <xdr:sp>
      <xdr:nvSpPr>
        <xdr:cNvPr id="20" name="AutoShape 25"/>
        <xdr:cNvSpPr>
          <a:spLocks/>
        </xdr:cNvSpPr>
      </xdr:nvSpPr>
      <xdr:spPr>
        <a:xfrm>
          <a:off x="15630525" y="4714875"/>
          <a:ext cx="1143000" cy="219075"/>
        </a:xfrm>
        <a:prstGeom prst="rect">
          <a:avLst/>
        </a:prstGeom>
        <a:noFill/>
        <a:ln w="25400" cmpd="sng">
          <a:solidFill>
            <a:srgbClr val="0000FF"/>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104775</xdr:colOff>
      <xdr:row>18</xdr:row>
      <xdr:rowOff>0</xdr:rowOff>
    </xdr:from>
    <xdr:to>
      <xdr:col>11</xdr:col>
      <xdr:colOff>942975</xdr:colOff>
      <xdr:row>19</xdr:row>
      <xdr:rowOff>66675</xdr:rowOff>
    </xdr:to>
    <xdr:sp>
      <xdr:nvSpPr>
        <xdr:cNvPr id="21" name="TextBox 26"/>
        <xdr:cNvSpPr txBox="1">
          <a:spLocks noChangeArrowheads="1"/>
        </xdr:cNvSpPr>
      </xdr:nvSpPr>
      <xdr:spPr>
        <a:xfrm>
          <a:off x="12801600" y="3086100"/>
          <a:ext cx="838200" cy="314325"/>
        </a:xfrm>
        <a:prstGeom prst="rect">
          <a:avLst/>
        </a:prstGeom>
        <a:noFill/>
        <a:ln w="9525" cmpd="sng">
          <a:noFill/>
        </a:ln>
      </xdr:spPr>
      <xdr:txBody>
        <a:bodyPr vertOverflow="clip" wrap="square"/>
        <a:p>
          <a:pPr algn="l">
            <a:defRPr/>
          </a:pPr>
          <a:r>
            <a:rPr lang="en-US" cap="none" sz="1800" b="1" i="1" u="none" baseline="0">
              <a:solidFill>
                <a:srgbClr val="0000FF"/>
              </a:solidFill>
              <a:latin typeface="Arial"/>
              <a:ea typeface="Arial"/>
              <a:cs typeface="Arial"/>
            </a:rPr>
            <a:t>$104.8</a:t>
          </a:r>
        </a:p>
      </xdr:txBody>
    </xdr:sp>
    <xdr:clientData/>
  </xdr:twoCellAnchor>
  <xdr:twoCellAnchor>
    <xdr:from>
      <xdr:col>5</xdr:col>
      <xdr:colOff>600075</xdr:colOff>
      <xdr:row>20</xdr:row>
      <xdr:rowOff>28575</xdr:rowOff>
    </xdr:from>
    <xdr:to>
      <xdr:col>11</xdr:col>
      <xdr:colOff>85725</xdr:colOff>
      <xdr:row>30</xdr:row>
      <xdr:rowOff>0</xdr:rowOff>
    </xdr:to>
    <xdr:sp>
      <xdr:nvSpPr>
        <xdr:cNvPr id="22" name="Polygon 29"/>
        <xdr:cNvSpPr>
          <a:spLocks/>
        </xdr:cNvSpPr>
      </xdr:nvSpPr>
      <xdr:spPr>
        <a:xfrm>
          <a:off x="5981700" y="3609975"/>
          <a:ext cx="6800850" cy="2362200"/>
        </a:xfrm>
        <a:custGeom>
          <a:pathLst>
            <a:path h="248" w="714">
              <a:moveTo>
                <a:pt x="0" y="248"/>
              </a:moveTo>
              <a:lnTo>
                <a:pt x="119" y="248"/>
              </a:lnTo>
              <a:lnTo>
                <a:pt x="119" y="182"/>
              </a:lnTo>
              <a:lnTo>
                <a:pt x="238" y="182"/>
              </a:lnTo>
              <a:lnTo>
                <a:pt x="238" y="123"/>
              </a:lnTo>
              <a:lnTo>
                <a:pt x="356" y="123"/>
              </a:lnTo>
              <a:lnTo>
                <a:pt x="356" y="67"/>
              </a:lnTo>
              <a:lnTo>
                <a:pt x="475" y="67"/>
              </a:lnTo>
              <a:lnTo>
                <a:pt x="475" y="9"/>
              </a:lnTo>
              <a:lnTo>
                <a:pt x="593" y="9"/>
              </a:lnTo>
              <a:lnTo>
                <a:pt x="595" y="0"/>
              </a:lnTo>
              <a:lnTo>
                <a:pt x="714" y="0"/>
              </a:lnTo>
            </a:path>
          </a:pathLst>
        </a:custGeom>
        <a:noFill/>
        <a:ln w="476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xdr:row>
      <xdr:rowOff>0</xdr:rowOff>
    </xdr:from>
    <xdr:to>
      <xdr:col>4</xdr:col>
      <xdr:colOff>342900</xdr:colOff>
      <xdr:row>1</xdr:row>
      <xdr:rowOff>0</xdr:rowOff>
    </xdr:to>
    <xdr:pic>
      <xdr:nvPicPr>
        <xdr:cNvPr id="1" name="Picture 1"/>
        <xdr:cNvPicPr preferRelativeResize="1">
          <a:picLocks noChangeAspect="1"/>
        </xdr:cNvPicPr>
      </xdr:nvPicPr>
      <xdr:blipFill>
        <a:blip r:embed="rId1"/>
        <a:stretch>
          <a:fillRect/>
        </a:stretch>
      </xdr:blipFill>
      <xdr:spPr>
        <a:xfrm>
          <a:off x="438150" y="161925"/>
          <a:ext cx="1695450" cy="0"/>
        </a:xfrm>
        <a:prstGeom prst="rect">
          <a:avLst/>
        </a:prstGeom>
        <a:noFill/>
        <a:ln w="9525" cmpd="sng">
          <a:noFill/>
        </a:ln>
      </xdr:spPr>
    </xdr:pic>
    <xdr:clientData/>
  </xdr:twoCellAnchor>
  <xdr:twoCellAnchor>
    <xdr:from>
      <xdr:col>8</xdr:col>
      <xdr:colOff>419100</xdr:colOff>
      <xdr:row>1</xdr:row>
      <xdr:rowOff>0</xdr:rowOff>
    </xdr:from>
    <xdr:to>
      <xdr:col>10</xdr:col>
      <xdr:colOff>304800</xdr:colOff>
      <xdr:row>1</xdr:row>
      <xdr:rowOff>0</xdr:rowOff>
    </xdr:to>
    <xdr:pic>
      <xdr:nvPicPr>
        <xdr:cNvPr id="2" name="Picture 2"/>
        <xdr:cNvPicPr preferRelativeResize="1">
          <a:picLocks noChangeAspect="1"/>
        </xdr:cNvPicPr>
      </xdr:nvPicPr>
      <xdr:blipFill>
        <a:blip r:embed="rId2"/>
        <a:stretch>
          <a:fillRect/>
        </a:stretch>
      </xdr:blipFill>
      <xdr:spPr>
        <a:xfrm>
          <a:off x="5667375" y="161925"/>
          <a:ext cx="1866900" cy="0"/>
        </a:xfrm>
        <a:prstGeom prst="rect">
          <a:avLst/>
        </a:prstGeom>
        <a:noFill/>
        <a:ln w="9525" cmpd="sng">
          <a:noFill/>
        </a:ln>
      </xdr:spPr>
    </xdr:pic>
    <xdr:clientData/>
  </xdr:twoCellAnchor>
  <xdr:twoCellAnchor>
    <xdr:from>
      <xdr:col>2</xdr:col>
      <xdr:colOff>190500</xdr:colOff>
      <xdr:row>1</xdr:row>
      <xdr:rowOff>0</xdr:rowOff>
    </xdr:from>
    <xdr:to>
      <xdr:col>4</xdr:col>
      <xdr:colOff>342900</xdr:colOff>
      <xdr:row>1</xdr:row>
      <xdr:rowOff>0</xdr:rowOff>
    </xdr:to>
    <xdr:pic>
      <xdr:nvPicPr>
        <xdr:cNvPr id="3" name="Picture 3"/>
        <xdr:cNvPicPr preferRelativeResize="1">
          <a:picLocks noChangeAspect="1"/>
        </xdr:cNvPicPr>
      </xdr:nvPicPr>
      <xdr:blipFill>
        <a:blip r:embed="rId1"/>
        <a:stretch>
          <a:fillRect/>
        </a:stretch>
      </xdr:blipFill>
      <xdr:spPr>
        <a:xfrm>
          <a:off x="438150" y="161925"/>
          <a:ext cx="1695450" cy="0"/>
        </a:xfrm>
        <a:prstGeom prst="rect">
          <a:avLst/>
        </a:prstGeom>
        <a:noFill/>
        <a:ln w="9525" cmpd="sng">
          <a:noFill/>
        </a:ln>
      </xdr:spPr>
    </xdr:pic>
    <xdr:clientData/>
  </xdr:twoCellAnchor>
  <xdr:twoCellAnchor>
    <xdr:from>
      <xdr:col>8</xdr:col>
      <xdr:colOff>419100</xdr:colOff>
      <xdr:row>1</xdr:row>
      <xdr:rowOff>0</xdr:rowOff>
    </xdr:from>
    <xdr:to>
      <xdr:col>10</xdr:col>
      <xdr:colOff>304800</xdr:colOff>
      <xdr:row>1</xdr:row>
      <xdr:rowOff>0</xdr:rowOff>
    </xdr:to>
    <xdr:pic>
      <xdr:nvPicPr>
        <xdr:cNvPr id="4" name="Picture 4"/>
        <xdr:cNvPicPr preferRelativeResize="1">
          <a:picLocks noChangeAspect="1"/>
        </xdr:cNvPicPr>
      </xdr:nvPicPr>
      <xdr:blipFill>
        <a:blip r:embed="rId2"/>
        <a:stretch>
          <a:fillRect/>
        </a:stretch>
      </xdr:blipFill>
      <xdr:spPr>
        <a:xfrm>
          <a:off x="5667375" y="161925"/>
          <a:ext cx="1866900" cy="0"/>
        </a:xfrm>
        <a:prstGeom prst="rect">
          <a:avLst/>
        </a:prstGeom>
        <a:noFill/>
        <a:ln w="9525" cmpd="sng">
          <a:noFill/>
        </a:ln>
      </xdr:spPr>
    </xdr:pic>
    <xdr:clientData/>
  </xdr:twoCellAnchor>
  <xdr:twoCellAnchor>
    <xdr:from>
      <xdr:col>2</xdr:col>
      <xdr:colOff>190500</xdr:colOff>
      <xdr:row>1</xdr:row>
      <xdr:rowOff>0</xdr:rowOff>
    </xdr:from>
    <xdr:to>
      <xdr:col>4</xdr:col>
      <xdr:colOff>342900</xdr:colOff>
      <xdr:row>1</xdr:row>
      <xdr:rowOff>0</xdr:rowOff>
    </xdr:to>
    <xdr:pic>
      <xdr:nvPicPr>
        <xdr:cNvPr id="5" name="Picture 5"/>
        <xdr:cNvPicPr preferRelativeResize="1">
          <a:picLocks noChangeAspect="1"/>
        </xdr:cNvPicPr>
      </xdr:nvPicPr>
      <xdr:blipFill>
        <a:blip r:embed="rId1"/>
        <a:stretch>
          <a:fillRect/>
        </a:stretch>
      </xdr:blipFill>
      <xdr:spPr>
        <a:xfrm>
          <a:off x="438150" y="161925"/>
          <a:ext cx="1695450" cy="0"/>
        </a:xfrm>
        <a:prstGeom prst="rect">
          <a:avLst/>
        </a:prstGeom>
        <a:noFill/>
        <a:ln w="9525" cmpd="sng">
          <a:noFill/>
        </a:ln>
      </xdr:spPr>
    </xdr:pic>
    <xdr:clientData/>
  </xdr:twoCellAnchor>
  <xdr:twoCellAnchor>
    <xdr:from>
      <xdr:col>8</xdr:col>
      <xdr:colOff>419100</xdr:colOff>
      <xdr:row>1</xdr:row>
      <xdr:rowOff>0</xdr:rowOff>
    </xdr:from>
    <xdr:to>
      <xdr:col>10</xdr:col>
      <xdr:colOff>304800</xdr:colOff>
      <xdr:row>1</xdr:row>
      <xdr:rowOff>0</xdr:rowOff>
    </xdr:to>
    <xdr:pic>
      <xdr:nvPicPr>
        <xdr:cNvPr id="6" name="Picture 6"/>
        <xdr:cNvPicPr preferRelativeResize="1">
          <a:picLocks noChangeAspect="1"/>
        </xdr:cNvPicPr>
      </xdr:nvPicPr>
      <xdr:blipFill>
        <a:blip r:embed="rId2"/>
        <a:stretch>
          <a:fillRect/>
        </a:stretch>
      </xdr:blipFill>
      <xdr:spPr>
        <a:xfrm>
          <a:off x="5667375" y="161925"/>
          <a:ext cx="1866900" cy="0"/>
        </a:xfrm>
        <a:prstGeom prst="rect">
          <a:avLst/>
        </a:prstGeom>
        <a:noFill/>
        <a:ln w="9525" cmpd="sng">
          <a:noFill/>
        </a:ln>
      </xdr:spPr>
    </xdr:pic>
    <xdr:clientData/>
  </xdr:twoCellAnchor>
  <xdr:twoCellAnchor>
    <xdr:from>
      <xdr:col>2</xdr:col>
      <xdr:colOff>190500</xdr:colOff>
      <xdr:row>1</xdr:row>
      <xdr:rowOff>0</xdr:rowOff>
    </xdr:from>
    <xdr:to>
      <xdr:col>4</xdr:col>
      <xdr:colOff>342900</xdr:colOff>
      <xdr:row>1</xdr:row>
      <xdr:rowOff>0</xdr:rowOff>
    </xdr:to>
    <xdr:pic>
      <xdr:nvPicPr>
        <xdr:cNvPr id="7" name="Picture 7"/>
        <xdr:cNvPicPr preferRelativeResize="1">
          <a:picLocks noChangeAspect="1"/>
        </xdr:cNvPicPr>
      </xdr:nvPicPr>
      <xdr:blipFill>
        <a:blip r:embed="rId1"/>
        <a:stretch>
          <a:fillRect/>
        </a:stretch>
      </xdr:blipFill>
      <xdr:spPr>
        <a:xfrm>
          <a:off x="438150" y="161925"/>
          <a:ext cx="1695450" cy="0"/>
        </a:xfrm>
        <a:prstGeom prst="rect">
          <a:avLst/>
        </a:prstGeom>
        <a:noFill/>
        <a:ln w="9525" cmpd="sng">
          <a:noFill/>
        </a:ln>
      </xdr:spPr>
    </xdr:pic>
    <xdr:clientData/>
  </xdr:twoCellAnchor>
  <xdr:twoCellAnchor>
    <xdr:from>
      <xdr:col>8</xdr:col>
      <xdr:colOff>419100</xdr:colOff>
      <xdr:row>1</xdr:row>
      <xdr:rowOff>0</xdr:rowOff>
    </xdr:from>
    <xdr:to>
      <xdr:col>10</xdr:col>
      <xdr:colOff>304800</xdr:colOff>
      <xdr:row>1</xdr:row>
      <xdr:rowOff>0</xdr:rowOff>
    </xdr:to>
    <xdr:pic>
      <xdr:nvPicPr>
        <xdr:cNvPr id="8" name="Picture 8"/>
        <xdr:cNvPicPr preferRelativeResize="1">
          <a:picLocks noChangeAspect="1"/>
        </xdr:cNvPicPr>
      </xdr:nvPicPr>
      <xdr:blipFill>
        <a:blip r:embed="rId2"/>
        <a:stretch>
          <a:fillRect/>
        </a:stretch>
      </xdr:blipFill>
      <xdr:spPr>
        <a:xfrm>
          <a:off x="5667375" y="161925"/>
          <a:ext cx="186690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762000</xdr:colOff>
      <xdr:row>100</xdr:row>
      <xdr:rowOff>219075</xdr:rowOff>
    </xdr:from>
    <xdr:to>
      <xdr:col>13</xdr:col>
      <xdr:colOff>38100</xdr:colOff>
      <xdr:row>104</xdr:row>
      <xdr:rowOff>85725</xdr:rowOff>
    </xdr:to>
    <xdr:sp>
      <xdr:nvSpPr>
        <xdr:cNvPr id="1" name="Line 1"/>
        <xdr:cNvSpPr>
          <a:spLocks/>
        </xdr:cNvSpPr>
      </xdr:nvSpPr>
      <xdr:spPr>
        <a:xfrm flipH="1">
          <a:off x="4733925" y="27355800"/>
          <a:ext cx="0" cy="895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752475</xdr:colOff>
      <xdr:row>101</xdr:row>
      <xdr:rowOff>38100</xdr:rowOff>
    </xdr:from>
    <xdr:to>
      <xdr:col>11</xdr:col>
      <xdr:colOff>762000</xdr:colOff>
      <xdr:row>104</xdr:row>
      <xdr:rowOff>9525</xdr:rowOff>
    </xdr:to>
    <xdr:sp>
      <xdr:nvSpPr>
        <xdr:cNvPr id="2" name="Line 2"/>
        <xdr:cNvSpPr>
          <a:spLocks/>
        </xdr:cNvSpPr>
      </xdr:nvSpPr>
      <xdr:spPr>
        <a:xfrm flipH="1">
          <a:off x="4733925" y="27432000"/>
          <a:ext cx="0" cy="742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200025</xdr:colOff>
      <xdr:row>103</xdr:row>
      <xdr:rowOff>123825</xdr:rowOff>
    </xdr:from>
    <xdr:to>
      <xdr:col>11</xdr:col>
      <xdr:colOff>304800</xdr:colOff>
      <xdr:row>104</xdr:row>
      <xdr:rowOff>66675</xdr:rowOff>
    </xdr:to>
    <xdr:sp>
      <xdr:nvSpPr>
        <xdr:cNvPr id="3" name="Line 3"/>
        <xdr:cNvSpPr>
          <a:spLocks/>
        </xdr:cNvSpPr>
      </xdr:nvSpPr>
      <xdr:spPr>
        <a:xfrm>
          <a:off x="4733925" y="280320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762000</xdr:colOff>
      <xdr:row>100</xdr:row>
      <xdr:rowOff>219075</xdr:rowOff>
    </xdr:from>
    <xdr:to>
      <xdr:col>13</xdr:col>
      <xdr:colOff>38100</xdr:colOff>
      <xdr:row>104</xdr:row>
      <xdr:rowOff>85725</xdr:rowOff>
    </xdr:to>
    <xdr:sp>
      <xdr:nvSpPr>
        <xdr:cNvPr id="1" name="Line 1"/>
        <xdr:cNvSpPr>
          <a:spLocks/>
        </xdr:cNvSpPr>
      </xdr:nvSpPr>
      <xdr:spPr>
        <a:xfrm flipH="1">
          <a:off x="5705475" y="27546300"/>
          <a:ext cx="0" cy="895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752475</xdr:colOff>
      <xdr:row>101</xdr:row>
      <xdr:rowOff>38100</xdr:rowOff>
    </xdr:from>
    <xdr:to>
      <xdr:col>11</xdr:col>
      <xdr:colOff>762000</xdr:colOff>
      <xdr:row>104</xdr:row>
      <xdr:rowOff>9525</xdr:rowOff>
    </xdr:to>
    <xdr:sp>
      <xdr:nvSpPr>
        <xdr:cNvPr id="2" name="Line 2"/>
        <xdr:cNvSpPr>
          <a:spLocks/>
        </xdr:cNvSpPr>
      </xdr:nvSpPr>
      <xdr:spPr>
        <a:xfrm flipH="1">
          <a:off x="5705475" y="27622500"/>
          <a:ext cx="0" cy="742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200025</xdr:colOff>
      <xdr:row>103</xdr:row>
      <xdr:rowOff>123825</xdr:rowOff>
    </xdr:from>
    <xdr:to>
      <xdr:col>11</xdr:col>
      <xdr:colOff>304800</xdr:colOff>
      <xdr:row>104</xdr:row>
      <xdr:rowOff>66675</xdr:rowOff>
    </xdr:to>
    <xdr:sp>
      <xdr:nvSpPr>
        <xdr:cNvPr id="3" name="Line 3"/>
        <xdr:cNvSpPr>
          <a:spLocks/>
        </xdr:cNvSpPr>
      </xdr:nvSpPr>
      <xdr:spPr>
        <a:xfrm>
          <a:off x="5705475" y="282225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0.18375</cdr:x>
      <cdr:y>0.51875</cdr:y>
    </cdr:from>
    <cdr:to>
      <cdr:x>0.3615</cdr:x>
      <cdr:y>0.51875</cdr:y>
    </cdr:to>
    <cdr:sp>
      <cdr:nvSpPr>
        <cdr:cNvPr id="1" name="Line 1"/>
        <cdr:cNvSpPr>
          <a:spLocks/>
        </cdr:cNvSpPr>
      </cdr:nvSpPr>
      <cdr:spPr>
        <a:xfrm flipV="1">
          <a:off x="0" y="4572000"/>
          <a:ext cx="0" cy="0"/>
        </a:xfrm>
        <a:prstGeom prst="line">
          <a:avLst/>
        </a:prstGeom>
        <a:noFill/>
        <a:ln w="317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0.18375</cdr:x>
      <cdr:y>0.39925</cdr:y>
    </cdr:from>
    <cdr:to>
      <cdr:x>0.3615</cdr:x>
      <cdr:y>0.39925</cdr:y>
    </cdr:to>
    <cdr:sp>
      <cdr:nvSpPr>
        <cdr:cNvPr id="2" name="Line 3"/>
        <cdr:cNvSpPr>
          <a:spLocks/>
        </cdr:cNvSpPr>
      </cdr:nvSpPr>
      <cdr:spPr>
        <a:xfrm flipV="1">
          <a:off x="0" y="3524250"/>
          <a:ext cx="0" cy="0"/>
        </a:xfrm>
        <a:prstGeom prst="line">
          <a:avLst/>
        </a:prstGeom>
        <a:noFill/>
        <a:ln w="31750" cmpd="sng">
          <a:solidFill>
            <a:srgbClr val="FF6600"/>
          </a:solidFill>
          <a:prstDash val="lg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0.49825</cdr:x>
      <cdr:y>0.15475</cdr:y>
    </cdr:from>
    <cdr:to>
      <cdr:x>0.7615</cdr:x>
      <cdr:y>0.8235</cdr:y>
    </cdr:to>
    <cdr:sp>
      <cdr:nvSpPr>
        <cdr:cNvPr id="1" name="AutoShape 2"/>
        <cdr:cNvSpPr>
          <a:spLocks/>
        </cdr:cNvSpPr>
      </cdr:nvSpPr>
      <cdr:spPr>
        <a:xfrm>
          <a:off x="0" y="1276350"/>
          <a:ext cx="0" cy="5534025"/>
        </a:xfrm>
        <a:custGeom>
          <a:pathLst>
            <a:path h="5704417" w="11185771">
              <a:moveTo>
                <a:pt x="0" y="2072217"/>
              </a:moveTo>
              <a:cubicBezTo>
                <a:pt x="122735" y="1889125"/>
                <a:pt x="245470" y="1706034"/>
                <a:pt x="380901" y="1589617"/>
              </a:cubicBezTo>
              <a:cubicBezTo>
                <a:pt x="516332" y="1473200"/>
                <a:pt x="615790" y="1411817"/>
                <a:pt x="812588" y="1373717"/>
              </a:cubicBezTo>
              <a:cubicBezTo>
                <a:pt x="1009386" y="1335617"/>
                <a:pt x="1373358" y="1373717"/>
                <a:pt x="1561692" y="1361017"/>
              </a:cubicBezTo>
              <a:cubicBezTo>
                <a:pt x="1750026" y="1348317"/>
                <a:pt x="1824090" y="1333500"/>
                <a:pt x="1942592" y="1297517"/>
              </a:cubicBezTo>
              <a:cubicBezTo>
                <a:pt x="2061094" y="1261534"/>
                <a:pt x="2107648" y="1267884"/>
                <a:pt x="2272705" y="1145117"/>
              </a:cubicBezTo>
              <a:cubicBezTo>
                <a:pt x="2437762" y="1022350"/>
                <a:pt x="2683231" y="736600"/>
                <a:pt x="2932932" y="560917"/>
              </a:cubicBezTo>
              <a:cubicBezTo>
                <a:pt x="3182633" y="385234"/>
                <a:pt x="3559302" y="182034"/>
                <a:pt x="3770913" y="91017"/>
              </a:cubicBezTo>
              <a:cubicBezTo>
                <a:pt x="3982524" y="0"/>
                <a:pt x="4007918" y="19050"/>
                <a:pt x="4202600" y="14817"/>
              </a:cubicBezTo>
              <a:cubicBezTo>
                <a:pt x="4397282" y="10584"/>
                <a:pt x="4718931" y="16934"/>
                <a:pt x="4939007" y="65617"/>
              </a:cubicBezTo>
              <a:cubicBezTo>
                <a:pt x="5159083" y="114300"/>
                <a:pt x="5302978" y="194734"/>
                <a:pt x="5523054" y="306917"/>
              </a:cubicBezTo>
              <a:cubicBezTo>
                <a:pt x="5743130" y="419100"/>
                <a:pt x="5937812" y="510117"/>
                <a:pt x="6259461" y="738717"/>
              </a:cubicBezTo>
              <a:cubicBezTo>
                <a:pt x="6581110" y="967317"/>
                <a:pt x="6995869" y="1329267"/>
                <a:pt x="7452949" y="1678517"/>
              </a:cubicBezTo>
              <a:cubicBezTo>
                <a:pt x="7910029" y="2027767"/>
                <a:pt x="8585069" y="2523067"/>
                <a:pt x="9001943" y="2834217"/>
              </a:cubicBezTo>
              <a:cubicBezTo>
                <a:pt x="9418817" y="3145367"/>
                <a:pt x="9710841" y="3312584"/>
                <a:pt x="9954194" y="3545417"/>
              </a:cubicBezTo>
              <a:cubicBezTo>
                <a:pt x="10197547" y="3778250"/>
                <a:pt x="10290656" y="3956050"/>
                <a:pt x="10462061" y="4231217"/>
              </a:cubicBezTo>
              <a:cubicBezTo>
                <a:pt x="10633466" y="4506384"/>
                <a:pt x="10862007" y="4950884"/>
                <a:pt x="10982625" y="5196417"/>
              </a:cubicBezTo>
              <a:cubicBezTo>
                <a:pt x="11103243" y="5441950"/>
                <a:pt x="11144507" y="5573183"/>
                <a:pt x="11185771" y="5704417"/>
              </a:cubicBezTo>
            </a:path>
          </a:pathLst>
        </a:custGeom>
        <a:noFill/>
        <a:ln w="3810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0.49625</cdr:x>
      <cdr:y>0.46225</cdr:y>
    </cdr:from>
    <cdr:to>
      <cdr:x>0.5175</cdr:x>
      <cdr:y>0.58725</cdr:y>
    </cdr:to>
    <cdr:sp>
      <cdr:nvSpPr>
        <cdr:cNvPr id="2" name="AutoShape 3"/>
        <cdr:cNvSpPr>
          <a:spLocks/>
        </cdr:cNvSpPr>
      </cdr:nvSpPr>
      <cdr:spPr>
        <a:xfrm>
          <a:off x="0" y="3819525"/>
          <a:ext cx="0" cy="1038225"/>
        </a:xfrm>
        <a:custGeom>
          <a:pathLst>
            <a:path h="1106599" w="965434">
              <a:moveTo>
                <a:pt x="0" y="1106599"/>
              </a:moveTo>
              <a:cubicBezTo>
                <a:pt x="92097" y="820956"/>
                <a:pt x="184195" y="535314"/>
                <a:pt x="241359" y="357581"/>
              </a:cubicBezTo>
              <a:cubicBezTo>
                <a:pt x="298523" y="179848"/>
                <a:pt x="277352" y="80402"/>
                <a:pt x="342984" y="40201"/>
              </a:cubicBezTo>
              <a:cubicBezTo>
                <a:pt x="408616" y="0"/>
                <a:pt x="531412" y="107909"/>
                <a:pt x="635154" y="116372"/>
              </a:cubicBezTo>
              <a:cubicBezTo>
                <a:pt x="738896" y="124835"/>
                <a:pt x="852165" y="107908"/>
                <a:pt x="965434" y="90982"/>
              </a:cubicBezTo>
            </a:path>
          </a:pathLst>
        </a:custGeom>
        <a:noFill/>
        <a:ln w="381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cdr:x>
      <cdr:y>0.4295</cdr:y>
    </cdr:from>
    <cdr:to>
      <cdr:x>0.18825</cdr:x>
      <cdr:y>0.4295</cdr:y>
    </cdr:to>
    <cdr:sp>
      <cdr:nvSpPr>
        <cdr:cNvPr id="1" name="Line 1"/>
        <cdr:cNvSpPr>
          <a:spLocks/>
        </cdr:cNvSpPr>
      </cdr:nvSpPr>
      <cdr:spPr>
        <a:xfrm>
          <a:off x="1104900" y="2409825"/>
          <a:ext cx="628650" cy="0"/>
        </a:xfrm>
        <a:prstGeom prst="line">
          <a:avLst/>
        </a:prstGeom>
        <a:noFill/>
        <a:ln w="571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0.00975</cdr:x>
      <cdr:y>0.479</cdr:y>
    </cdr:from>
    <cdr:to>
      <cdr:x>0.0755</cdr:x>
      <cdr:y>0.53825</cdr:y>
    </cdr:to>
    <cdr:sp>
      <cdr:nvSpPr>
        <cdr:cNvPr id="2" name="TextBox 2"/>
        <cdr:cNvSpPr txBox="1">
          <a:spLocks noChangeArrowheads="1"/>
        </cdr:cNvSpPr>
      </cdr:nvSpPr>
      <cdr:spPr>
        <a:xfrm>
          <a:off x="85725" y="2686050"/>
          <a:ext cx="609600" cy="333375"/>
        </a:xfrm>
        <a:prstGeom prst="rect">
          <a:avLst/>
        </a:prstGeom>
        <a:noFill/>
        <a:ln w="9525" cmpd="sng">
          <a:noFill/>
        </a:ln>
      </cdr:spPr>
      <cdr:txBody>
        <a:bodyPr vertOverflow="clip" wrap="square">
          <a:spAutoFit/>
        </a:bodyPr>
        <a:p>
          <a:pPr algn="l">
            <a:defRPr/>
          </a:pPr>
          <a:r>
            <a:rPr lang="en-US" cap="none" sz="1900" b="0" i="0" u="none" baseline="0">
              <a:latin typeface="Arial"/>
              <a:ea typeface="Arial"/>
              <a:cs typeface="Arial"/>
            </a:rPr>
            <a:t>FTE</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39</xdr:row>
      <xdr:rowOff>76200</xdr:rowOff>
    </xdr:from>
    <xdr:to>
      <xdr:col>3</xdr:col>
      <xdr:colOff>0</xdr:colOff>
      <xdr:row>94</xdr:row>
      <xdr:rowOff>0</xdr:rowOff>
    </xdr:to>
    <xdr:graphicFrame>
      <xdr:nvGraphicFramePr>
        <xdr:cNvPr id="1" name="Chart 2"/>
        <xdr:cNvGraphicFramePr/>
      </xdr:nvGraphicFramePr>
      <xdr:xfrm>
        <a:off x="2114550" y="6391275"/>
        <a:ext cx="0" cy="8829675"/>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2</xdr:row>
      <xdr:rowOff>142875</xdr:rowOff>
    </xdr:from>
    <xdr:to>
      <xdr:col>3</xdr:col>
      <xdr:colOff>0</xdr:colOff>
      <xdr:row>54</xdr:row>
      <xdr:rowOff>0</xdr:rowOff>
    </xdr:to>
    <xdr:graphicFrame>
      <xdr:nvGraphicFramePr>
        <xdr:cNvPr id="2" name="Chart 3"/>
        <xdr:cNvGraphicFramePr/>
      </xdr:nvGraphicFramePr>
      <xdr:xfrm>
        <a:off x="2114550" y="466725"/>
        <a:ext cx="0" cy="8277225"/>
      </xdr:xfrm>
      <a:graphic>
        <a:graphicData uri="http://schemas.openxmlformats.org/drawingml/2006/chart">
          <c:chart xmlns:c="http://schemas.openxmlformats.org/drawingml/2006/chart" r:id="rId2"/>
        </a:graphicData>
      </a:graphic>
    </xdr:graphicFrame>
    <xdr:clientData/>
  </xdr:twoCellAnchor>
  <xdr:twoCellAnchor>
    <xdr:from>
      <xdr:col>13</xdr:col>
      <xdr:colOff>495300</xdr:colOff>
      <xdr:row>52</xdr:row>
      <xdr:rowOff>95250</xdr:rowOff>
    </xdr:from>
    <xdr:to>
      <xdr:col>30</xdr:col>
      <xdr:colOff>57150</xdr:colOff>
      <xdr:row>87</xdr:row>
      <xdr:rowOff>47625</xdr:rowOff>
    </xdr:to>
    <xdr:graphicFrame>
      <xdr:nvGraphicFramePr>
        <xdr:cNvPr id="3" name="Chart 6"/>
        <xdr:cNvGraphicFramePr/>
      </xdr:nvGraphicFramePr>
      <xdr:xfrm>
        <a:off x="7410450" y="8515350"/>
        <a:ext cx="9277350" cy="5619750"/>
      </xdr:xfrm>
      <a:graphic>
        <a:graphicData uri="http://schemas.openxmlformats.org/drawingml/2006/chart">
          <c:chart xmlns:c="http://schemas.openxmlformats.org/drawingml/2006/chart" r:id="rId3"/>
        </a:graphicData>
      </a:graphic>
    </xdr:graphicFrame>
    <xdr:clientData/>
  </xdr:twoCellAnchor>
  <xdr:oneCellAnchor>
    <xdr:from>
      <xdr:col>29</xdr:col>
      <xdr:colOff>304800</xdr:colOff>
      <xdr:row>53</xdr:row>
      <xdr:rowOff>114300</xdr:rowOff>
    </xdr:from>
    <xdr:ext cx="114300" cy="266700"/>
    <xdr:sp>
      <xdr:nvSpPr>
        <xdr:cNvPr id="4" name="TextBox 7"/>
        <xdr:cNvSpPr txBox="1">
          <a:spLocks noChangeArrowheads="1"/>
        </xdr:cNvSpPr>
      </xdr:nvSpPr>
      <xdr:spPr>
        <a:xfrm>
          <a:off x="16363950" y="8696325"/>
          <a:ext cx="1143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7</xdr:row>
      <xdr:rowOff>76200</xdr:rowOff>
    </xdr:from>
    <xdr:to>
      <xdr:col>5</xdr:col>
      <xdr:colOff>371475</xdr:colOff>
      <xdr:row>7</xdr:row>
      <xdr:rowOff>238125</xdr:rowOff>
    </xdr:to>
    <xdr:sp>
      <xdr:nvSpPr>
        <xdr:cNvPr id="1" name="AutoShape 1"/>
        <xdr:cNvSpPr>
          <a:spLocks/>
        </xdr:cNvSpPr>
      </xdr:nvSpPr>
      <xdr:spPr>
        <a:xfrm rot="10800000">
          <a:off x="1181100" y="1800225"/>
          <a:ext cx="0" cy="161925"/>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28</xdr:row>
      <xdr:rowOff>0</xdr:rowOff>
    </xdr:from>
    <xdr:to>
      <xdr:col>9</xdr:col>
      <xdr:colOff>171450</xdr:colOff>
      <xdr:row>28</xdr:row>
      <xdr:rowOff>0</xdr:rowOff>
    </xdr:to>
    <xdr:sp>
      <xdr:nvSpPr>
        <xdr:cNvPr id="2" name="Rectangle 2"/>
        <xdr:cNvSpPr>
          <a:spLocks/>
        </xdr:cNvSpPr>
      </xdr:nvSpPr>
      <xdr:spPr>
        <a:xfrm>
          <a:off x="1457325" y="8915400"/>
          <a:ext cx="1009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8</xdr:row>
      <xdr:rowOff>76200</xdr:rowOff>
    </xdr:from>
    <xdr:to>
      <xdr:col>6</xdr:col>
      <xdr:colOff>0</xdr:colOff>
      <xdr:row>8</xdr:row>
      <xdr:rowOff>238125</xdr:rowOff>
    </xdr:to>
    <xdr:sp>
      <xdr:nvSpPr>
        <xdr:cNvPr id="3" name="AutoShape 3"/>
        <xdr:cNvSpPr>
          <a:spLocks/>
        </xdr:cNvSpPr>
      </xdr:nvSpPr>
      <xdr:spPr>
        <a:xfrm rot="10800000">
          <a:off x="1181100" y="2162175"/>
          <a:ext cx="0" cy="161925"/>
        </a:xfrm>
        <a:prstGeom prst="triangle">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371475</xdr:colOff>
      <xdr:row>11</xdr:row>
      <xdr:rowOff>28575</xdr:rowOff>
    </xdr:from>
    <xdr:to>
      <xdr:col>7</xdr:col>
      <xdr:colOff>371475</xdr:colOff>
      <xdr:row>11</xdr:row>
      <xdr:rowOff>190500</xdr:rowOff>
    </xdr:to>
    <xdr:sp>
      <xdr:nvSpPr>
        <xdr:cNvPr id="4" name="AutoShape 4"/>
        <xdr:cNvSpPr>
          <a:spLocks/>
        </xdr:cNvSpPr>
      </xdr:nvSpPr>
      <xdr:spPr>
        <a:xfrm rot="10800000">
          <a:off x="1924050" y="3200400"/>
          <a:ext cx="0" cy="161925"/>
        </a:xfrm>
        <a:prstGeom prst="triangle">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14</xdr:row>
      <xdr:rowOff>57150</xdr:rowOff>
    </xdr:from>
    <xdr:to>
      <xdr:col>9</xdr:col>
      <xdr:colOff>371475</xdr:colOff>
      <xdr:row>14</xdr:row>
      <xdr:rowOff>219075</xdr:rowOff>
    </xdr:to>
    <xdr:sp>
      <xdr:nvSpPr>
        <xdr:cNvPr id="5" name="AutoShape 5"/>
        <xdr:cNvSpPr>
          <a:spLocks/>
        </xdr:cNvSpPr>
      </xdr:nvSpPr>
      <xdr:spPr>
        <a:xfrm rot="10800000">
          <a:off x="2667000" y="4314825"/>
          <a:ext cx="0" cy="161925"/>
        </a:xfrm>
        <a:prstGeom prst="triangle">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18</xdr:row>
      <xdr:rowOff>95250</xdr:rowOff>
    </xdr:from>
    <xdr:to>
      <xdr:col>12</xdr:col>
      <xdr:colOff>371475</xdr:colOff>
      <xdr:row>18</xdr:row>
      <xdr:rowOff>257175</xdr:rowOff>
    </xdr:to>
    <xdr:sp>
      <xdr:nvSpPr>
        <xdr:cNvPr id="6" name="AutoShape 6"/>
        <xdr:cNvSpPr>
          <a:spLocks/>
        </xdr:cNvSpPr>
      </xdr:nvSpPr>
      <xdr:spPr>
        <a:xfrm rot="10800000">
          <a:off x="3781425" y="5800725"/>
          <a:ext cx="0" cy="161925"/>
        </a:xfrm>
        <a:prstGeom prst="triangle">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371475</xdr:colOff>
      <xdr:row>5</xdr:row>
      <xdr:rowOff>28575</xdr:rowOff>
    </xdr:from>
    <xdr:to>
      <xdr:col>19</xdr:col>
      <xdr:colOff>371475</xdr:colOff>
      <xdr:row>24</xdr:row>
      <xdr:rowOff>219075</xdr:rowOff>
    </xdr:to>
    <xdr:sp>
      <xdr:nvSpPr>
        <xdr:cNvPr id="7" name="Line 7"/>
        <xdr:cNvSpPr>
          <a:spLocks/>
        </xdr:cNvSpPr>
      </xdr:nvSpPr>
      <xdr:spPr>
        <a:xfrm>
          <a:off x="6410325" y="1095375"/>
          <a:ext cx="0" cy="7000875"/>
        </a:xfrm>
        <a:prstGeom prst="line">
          <a:avLst/>
        </a:prstGeom>
        <a:noFill/>
        <a:ln w="635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200025</xdr:colOff>
      <xdr:row>7</xdr:row>
      <xdr:rowOff>76200</xdr:rowOff>
    </xdr:from>
    <xdr:to>
      <xdr:col>6</xdr:col>
      <xdr:colOff>104775</xdr:colOff>
      <xdr:row>7</xdr:row>
      <xdr:rowOff>352425</xdr:rowOff>
    </xdr:to>
    <xdr:sp>
      <xdr:nvSpPr>
        <xdr:cNvPr id="8" name="AutoShape 8"/>
        <xdr:cNvSpPr>
          <a:spLocks/>
        </xdr:cNvSpPr>
      </xdr:nvSpPr>
      <xdr:spPr>
        <a:xfrm>
          <a:off x="1009650" y="1800225"/>
          <a:ext cx="276225" cy="276225"/>
        </a:xfrm>
        <a:prstGeom prst="star5">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0</xdr:row>
      <xdr:rowOff>266700</xdr:rowOff>
    </xdr:from>
    <xdr:to>
      <xdr:col>7</xdr:col>
      <xdr:colOff>161925</xdr:colOff>
      <xdr:row>2</xdr:row>
      <xdr:rowOff>47625</xdr:rowOff>
    </xdr:to>
    <xdr:sp>
      <xdr:nvSpPr>
        <xdr:cNvPr id="9" name="AutoShape 9"/>
        <xdr:cNvSpPr>
          <a:spLocks/>
        </xdr:cNvSpPr>
      </xdr:nvSpPr>
      <xdr:spPr>
        <a:xfrm>
          <a:off x="1438275" y="266700"/>
          <a:ext cx="276225" cy="276225"/>
        </a:xfrm>
        <a:prstGeom prst="star5">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295275</xdr:colOff>
      <xdr:row>28</xdr:row>
      <xdr:rowOff>0</xdr:rowOff>
    </xdr:from>
    <xdr:to>
      <xdr:col>20</xdr:col>
      <xdr:colOff>9525</xdr:colOff>
      <xdr:row>28</xdr:row>
      <xdr:rowOff>0</xdr:rowOff>
    </xdr:to>
    <xdr:sp>
      <xdr:nvSpPr>
        <xdr:cNvPr id="10" name="AutoShape 13"/>
        <xdr:cNvSpPr>
          <a:spLocks/>
        </xdr:cNvSpPr>
      </xdr:nvSpPr>
      <xdr:spPr>
        <a:xfrm>
          <a:off x="6334125" y="8915400"/>
          <a:ext cx="95250" cy="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32</xdr:col>
      <xdr:colOff>0</xdr:colOff>
      <xdr:row>5</xdr:row>
      <xdr:rowOff>238125</xdr:rowOff>
    </xdr:from>
    <xdr:to>
      <xdr:col>32</xdr:col>
      <xdr:colOff>0</xdr:colOff>
      <xdr:row>5</xdr:row>
      <xdr:rowOff>438150</xdr:rowOff>
    </xdr:to>
    <xdr:sp>
      <xdr:nvSpPr>
        <xdr:cNvPr id="11" name="Oval 16"/>
        <xdr:cNvSpPr>
          <a:spLocks/>
        </xdr:cNvSpPr>
      </xdr:nvSpPr>
      <xdr:spPr>
        <a:xfrm>
          <a:off x="10829925" y="1304925"/>
          <a:ext cx="0"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28</xdr:row>
      <xdr:rowOff>0</xdr:rowOff>
    </xdr:from>
    <xdr:to>
      <xdr:col>9</xdr:col>
      <xdr:colOff>19050</xdr:colOff>
      <xdr:row>28</xdr:row>
      <xdr:rowOff>0</xdr:rowOff>
    </xdr:to>
    <xdr:sp>
      <xdr:nvSpPr>
        <xdr:cNvPr id="12" name="AutoShape 17"/>
        <xdr:cNvSpPr>
          <a:spLocks/>
        </xdr:cNvSpPr>
      </xdr:nvSpPr>
      <xdr:spPr>
        <a:xfrm>
          <a:off x="1552575" y="8915400"/>
          <a:ext cx="762000" cy="0"/>
        </a:xfrm>
        <a:custGeom>
          <a:pathLst>
            <a:path h="20" w="80">
              <a:moveTo>
                <a:pt x="0" y="20"/>
              </a:moveTo>
              <a:cubicBezTo>
                <a:pt x="13" y="10"/>
                <a:pt x="26" y="0"/>
                <a:pt x="39" y="0"/>
              </a:cubicBezTo>
              <a:cubicBezTo>
                <a:pt x="52" y="0"/>
                <a:pt x="66" y="9"/>
                <a:pt x="80"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28</xdr:row>
      <xdr:rowOff>0</xdr:rowOff>
    </xdr:from>
    <xdr:to>
      <xdr:col>10</xdr:col>
      <xdr:colOff>0</xdr:colOff>
      <xdr:row>28</xdr:row>
      <xdr:rowOff>0</xdr:rowOff>
    </xdr:to>
    <xdr:sp>
      <xdr:nvSpPr>
        <xdr:cNvPr id="13" name="AutoShape 18"/>
        <xdr:cNvSpPr>
          <a:spLocks/>
        </xdr:cNvSpPr>
      </xdr:nvSpPr>
      <xdr:spPr>
        <a:xfrm>
          <a:off x="1552575" y="8915400"/>
          <a:ext cx="1114425" cy="0"/>
        </a:xfrm>
        <a:custGeom>
          <a:pathLst>
            <a:path h="24" w="117">
              <a:moveTo>
                <a:pt x="0" y="24"/>
              </a:moveTo>
              <a:cubicBezTo>
                <a:pt x="13" y="16"/>
                <a:pt x="26" y="8"/>
                <a:pt x="39" y="5"/>
              </a:cubicBezTo>
              <a:cubicBezTo>
                <a:pt x="52" y="2"/>
                <a:pt x="67" y="0"/>
                <a:pt x="80" y="3"/>
              </a:cubicBezTo>
              <a:cubicBezTo>
                <a:pt x="93" y="6"/>
                <a:pt x="105" y="15"/>
                <a:pt x="117" y="2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152400</xdr:colOff>
      <xdr:row>28</xdr:row>
      <xdr:rowOff>0</xdr:rowOff>
    </xdr:from>
    <xdr:to>
      <xdr:col>14</xdr:col>
      <xdr:colOff>19050</xdr:colOff>
      <xdr:row>28</xdr:row>
      <xdr:rowOff>0</xdr:rowOff>
    </xdr:to>
    <xdr:sp>
      <xdr:nvSpPr>
        <xdr:cNvPr id="14" name="Rectangle 19"/>
        <xdr:cNvSpPr>
          <a:spLocks/>
        </xdr:cNvSpPr>
      </xdr:nvSpPr>
      <xdr:spPr>
        <a:xfrm>
          <a:off x="3190875" y="8915400"/>
          <a:ext cx="9810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142875</xdr:colOff>
      <xdr:row>28</xdr:row>
      <xdr:rowOff>0</xdr:rowOff>
    </xdr:from>
    <xdr:to>
      <xdr:col>14</xdr:col>
      <xdr:colOff>38100</xdr:colOff>
      <xdr:row>28</xdr:row>
      <xdr:rowOff>0</xdr:rowOff>
    </xdr:to>
    <xdr:sp>
      <xdr:nvSpPr>
        <xdr:cNvPr id="15" name="AutoShape 20"/>
        <xdr:cNvSpPr>
          <a:spLocks/>
        </xdr:cNvSpPr>
      </xdr:nvSpPr>
      <xdr:spPr>
        <a:xfrm>
          <a:off x="3181350" y="8915400"/>
          <a:ext cx="1009650" cy="0"/>
        </a:xfrm>
        <a:custGeom>
          <a:pathLst>
            <a:path h="81" w="106">
              <a:moveTo>
                <a:pt x="0" y="43"/>
              </a:moveTo>
              <a:cubicBezTo>
                <a:pt x="0" y="30"/>
                <a:pt x="36" y="0"/>
                <a:pt x="54" y="0"/>
              </a:cubicBezTo>
              <a:cubicBezTo>
                <a:pt x="72" y="0"/>
                <a:pt x="106" y="30"/>
                <a:pt x="106" y="43"/>
              </a:cubicBezTo>
              <a:cubicBezTo>
                <a:pt x="106" y="56"/>
                <a:pt x="74" y="79"/>
                <a:pt x="57" y="80"/>
              </a:cubicBezTo>
              <a:cubicBezTo>
                <a:pt x="40" y="81"/>
                <a:pt x="0" y="56"/>
                <a:pt x="0" y="43"/>
              </a:cubicBez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18</xdr:row>
      <xdr:rowOff>209550</xdr:rowOff>
    </xdr:from>
    <xdr:to>
      <xdr:col>32</xdr:col>
      <xdr:colOff>0</xdr:colOff>
      <xdr:row>28</xdr:row>
      <xdr:rowOff>0</xdr:rowOff>
    </xdr:to>
    <xdr:grpSp>
      <xdr:nvGrpSpPr>
        <xdr:cNvPr id="16" name="Group 21"/>
        <xdr:cNvGrpSpPr>
          <a:grpSpLocks/>
        </xdr:cNvGrpSpPr>
      </xdr:nvGrpSpPr>
      <xdr:grpSpPr>
        <a:xfrm>
          <a:off x="10829925" y="5915025"/>
          <a:ext cx="0" cy="3000375"/>
          <a:chOff x="294" y="181"/>
          <a:chExt cx="875" cy="660"/>
        </a:xfrm>
        <a:solidFill>
          <a:srgbClr val="FFFFFF"/>
        </a:solidFill>
      </xdr:grpSpPr>
      <xdr:sp>
        <xdr:nvSpPr>
          <xdr:cNvPr id="17" name="AutoShape 22"/>
          <xdr:cNvSpPr>
            <a:spLocks/>
          </xdr:cNvSpPr>
        </xdr:nvSpPr>
        <xdr:spPr>
          <a:xfrm rot="10800000">
            <a:off x="1155" y="824"/>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AutoShape 23"/>
          <xdr:cNvSpPr>
            <a:spLocks/>
          </xdr:cNvSpPr>
        </xdr:nvSpPr>
        <xdr:spPr>
          <a:xfrm rot="10800000">
            <a:off x="357" y="217"/>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AutoShape 24"/>
          <xdr:cNvSpPr>
            <a:spLocks/>
          </xdr:cNvSpPr>
        </xdr:nvSpPr>
        <xdr:spPr>
          <a:xfrm rot="10800000">
            <a:off x="397" y="253"/>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AutoShape 25"/>
          <xdr:cNvSpPr>
            <a:spLocks/>
          </xdr:cNvSpPr>
        </xdr:nvSpPr>
        <xdr:spPr>
          <a:xfrm rot="10800000">
            <a:off x="440" y="292"/>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AutoShape 26"/>
          <xdr:cNvSpPr>
            <a:spLocks/>
          </xdr:cNvSpPr>
        </xdr:nvSpPr>
        <xdr:spPr>
          <a:xfrm rot="10800000">
            <a:off x="491" y="332"/>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AutoShape 27"/>
          <xdr:cNvSpPr>
            <a:spLocks/>
          </xdr:cNvSpPr>
        </xdr:nvSpPr>
        <xdr:spPr>
          <a:xfrm rot="10800000">
            <a:off x="526" y="369"/>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AutoShape 28"/>
          <xdr:cNvSpPr>
            <a:spLocks/>
          </xdr:cNvSpPr>
        </xdr:nvSpPr>
        <xdr:spPr>
          <a:xfrm rot="10800000">
            <a:off x="615" y="442"/>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AutoShape 29"/>
          <xdr:cNvSpPr>
            <a:spLocks/>
          </xdr:cNvSpPr>
        </xdr:nvSpPr>
        <xdr:spPr>
          <a:xfrm rot="10800000">
            <a:off x="660" y="487"/>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utoShape 30"/>
          <xdr:cNvSpPr>
            <a:spLocks/>
          </xdr:cNvSpPr>
        </xdr:nvSpPr>
        <xdr:spPr>
          <a:xfrm rot="10800000">
            <a:off x="704" y="522"/>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utoShape 31"/>
          <xdr:cNvSpPr>
            <a:spLocks/>
          </xdr:cNvSpPr>
        </xdr:nvSpPr>
        <xdr:spPr>
          <a:xfrm rot="10800000">
            <a:off x="908" y="640"/>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AutoShape 32"/>
          <xdr:cNvSpPr>
            <a:spLocks/>
          </xdr:cNvSpPr>
        </xdr:nvSpPr>
        <xdr:spPr>
          <a:xfrm rot="10800000">
            <a:off x="938" y="671"/>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AutoShape 33"/>
          <xdr:cNvSpPr>
            <a:spLocks/>
          </xdr:cNvSpPr>
        </xdr:nvSpPr>
        <xdr:spPr>
          <a:xfrm rot="10800000">
            <a:off x="1015" y="710"/>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AutoShape 34"/>
          <xdr:cNvSpPr>
            <a:spLocks/>
          </xdr:cNvSpPr>
        </xdr:nvSpPr>
        <xdr:spPr>
          <a:xfrm rot="10800000">
            <a:off x="1045" y="746"/>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5"/>
          <xdr:cNvSpPr>
            <a:spLocks/>
          </xdr:cNvSpPr>
        </xdr:nvSpPr>
        <xdr:spPr>
          <a:xfrm flipV="1">
            <a:off x="728" y="804"/>
            <a:ext cx="411" cy="1"/>
          </a:xfrm>
          <a:prstGeom prst="line">
            <a:avLst/>
          </a:prstGeom>
          <a:noFill/>
          <a:ln w="6350"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AutoShape 36"/>
          <xdr:cNvSpPr>
            <a:spLocks/>
          </xdr:cNvSpPr>
        </xdr:nvSpPr>
        <xdr:spPr>
          <a:xfrm rot="10800000">
            <a:off x="294" y="181"/>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AutoShape 37"/>
          <xdr:cNvSpPr>
            <a:spLocks/>
          </xdr:cNvSpPr>
        </xdr:nvSpPr>
        <xdr:spPr>
          <a:xfrm rot="10800000">
            <a:off x="574" y="411"/>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AutoShape 38"/>
          <xdr:cNvSpPr>
            <a:spLocks/>
          </xdr:cNvSpPr>
        </xdr:nvSpPr>
        <xdr:spPr>
          <a:xfrm rot="10800000">
            <a:off x="789" y="600"/>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AutoShape 39"/>
          <xdr:cNvSpPr>
            <a:spLocks/>
          </xdr:cNvSpPr>
        </xdr:nvSpPr>
        <xdr:spPr>
          <a:xfrm rot="10800000">
            <a:off x="755" y="560"/>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26</xdr:row>
      <xdr:rowOff>57150</xdr:rowOff>
    </xdr:from>
    <xdr:to>
      <xdr:col>32</xdr:col>
      <xdr:colOff>0</xdr:colOff>
      <xdr:row>27</xdr:row>
      <xdr:rowOff>66675</xdr:rowOff>
    </xdr:to>
    <xdr:sp>
      <xdr:nvSpPr>
        <xdr:cNvPr id="35" name="Oval 41"/>
        <xdr:cNvSpPr>
          <a:spLocks/>
        </xdr:cNvSpPr>
      </xdr:nvSpPr>
      <xdr:spPr>
        <a:xfrm>
          <a:off x="10829925" y="8420100"/>
          <a:ext cx="0"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22</xdr:row>
      <xdr:rowOff>304800</xdr:rowOff>
    </xdr:from>
    <xdr:to>
      <xdr:col>32</xdr:col>
      <xdr:colOff>0</xdr:colOff>
      <xdr:row>23</xdr:row>
      <xdr:rowOff>142875</xdr:rowOff>
    </xdr:to>
    <xdr:sp>
      <xdr:nvSpPr>
        <xdr:cNvPr id="36" name="Oval 44"/>
        <xdr:cNvSpPr>
          <a:spLocks/>
        </xdr:cNvSpPr>
      </xdr:nvSpPr>
      <xdr:spPr>
        <a:xfrm>
          <a:off x="10829925" y="7458075"/>
          <a:ext cx="0"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13</xdr:row>
      <xdr:rowOff>314325</xdr:rowOff>
    </xdr:from>
    <xdr:to>
      <xdr:col>32</xdr:col>
      <xdr:colOff>0</xdr:colOff>
      <xdr:row>14</xdr:row>
      <xdr:rowOff>152400</xdr:rowOff>
    </xdr:to>
    <xdr:sp>
      <xdr:nvSpPr>
        <xdr:cNvPr id="37" name="Oval 47"/>
        <xdr:cNvSpPr>
          <a:spLocks/>
        </xdr:cNvSpPr>
      </xdr:nvSpPr>
      <xdr:spPr>
        <a:xfrm>
          <a:off x="10829925" y="4210050"/>
          <a:ext cx="0"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20</xdr:row>
      <xdr:rowOff>238125</xdr:rowOff>
    </xdr:from>
    <xdr:to>
      <xdr:col>32</xdr:col>
      <xdr:colOff>0</xdr:colOff>
      <xdr:row>21</xdr:row>
      <xdr:rowOff>76200</xdr:rowOff>
    </xdr:to>
    <xdr:sp>
      <xdr:nvSpPr>
        <xdr:cNvPr id="38" name="Oval 55"/>
        <xdr:cNvSpPr>
          <a:spLocks/>
        </xdr:cNvSpPr>
      </xdr:nvSpPr>
      <xdr:spPr>
        <a:xfrm>
          <a:off x="10829925" y="6667500"/>
          <a:ext cx="0"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22</xdr:row>
      <xdr:rowOff>123825</xdr:rowOff>
    </xdr:from>
    <xdr:to>
      <xdr:col>32</xdr:col>
      <xdr:colOff>0</xdr:colOff>
      <xdr:row>22</xdr:row>
      <xdr:rowOff>323850</xdr:rowOff>
    </xdr:to>
    <xdr:sp>
      <xdr:nvSpPr>
        <xdr:cNvPr id="39" name="Oval 56"/>
        <xdr:cNvSpPr>
          <a:spLocks/>
        </xdr:cNvSpPr>
      </xdr:nvSpPr>
      <xdr:spPr>
        <a:xfrm>
          <a:off x="10829925" y="7277100"/>
          <a:ext cx="0"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22</xdr:row>
      <xdr:rowOff>200025</xdr:rowOff>
    </xdr:from>
    <xdr:to>
      <xdr:col>31</xdr:col>
      <xdr:colOff>19050</xdr:colOff>
      <xdr:row>22</xdr:row>
      <xdr:rowOff>200025</xdr:rowOff>
    </xdr:to>
    <xdr:sp>
      <xdr:nvSpPr>
        <xdr:cNvPr id="40" name="Line 58"/>
        <xdr:cNvSpPr>
          <a:spLocks/>
        </xdr:cNvSpPr>
      </xdr:nvSpPr>
      <xdr:spPr>
        <a:xfrm>
          <a:off x="809625" y="7353300"/>
          <a:ext cx="9686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23</xdr:row>
      <xdr:rowOff>161925</xdr:rowOff>
    </xdr:from>
    <xdr:to>
      <xdr:col>30</xdr:col>
      <xdr:colOff>333375</xdr:colOff>
      <xdr:row>23</xdr:row>
      <xdr:rowOff>161925</xdr:rowOff>
    </xdr:to>
    <xdr:sp>
      <xdr:nvSpPr>
        <xdr:cNvPr id="41" name="Line 59"/>
        <xdr:cNvSpPr>
          <a:spLocks/>
        </xdr:cNvSpPr>
      </xdr:nvSpPr>
      <xdr:spPr>
        <a:xfrm flipV="1">
          <a:off x="809625" y="7677150"/>
          <a:ext cx="96488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24</xdr:row>
      <xdr:rowOff>190500</xdr:rowOff>
    </xdr:from>
    <xdr:to>
      <xdr:col>31</xdr:col>
      <xdr:colOff>19050</xdr:colOff>
      <xdr:row>24</xdr:row>
      <xdr:rowOff>190500</xdr:rowOff>
    </xdr:to>
    <xdr:sp>
      <xdr:nvSpPr>
        <xdr:cNvPr id="42" name="Line 60"/>
        <xdr:cNvSpPr>
          <a:spLocks/>
        </xdr:cNvSpPr>
      </xdr:nvSpPr>
      <xdr:spPr>
        <a:xfrm>
          <a:off x="809625" y="8067675"/>
          <a:ext cx="9686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24</xdr:row>
      <xdr:rowOff>295275</xdr:rowOff>
    </xdr:from>
    <xdr:to>
      <xdr:col>32</xdr:col>
      <xdr:colOff>0</xdr:colOff>
      <xdr:row>26</xdr:row>
      <xdr:rowOff>9525</xdr:rowOff>
    </xdr:to>
    <xdr:sp>
      <xdr:nvSpPr>
        <xdr:cNvPr id="43" name="Oval 63"/>
        <xdr:cNvSpPr>
          <a:spLocks/>
        </xdr:cNvSpPr>
      </xdr:nvSpPr>
      <xdr:spPr>
        <a:xfrm>
          <a:off x="10829925" y="8172450"/>
          <a:ext cx="0"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19</xdr:row>
      <xdr:rowOff>219075</xdr:rowOff>
    </xdr:from>
    <xdr:to>
      <xdr:col>30</xdr:col>
      <xdr:colOff>333375</xdr:colOff>
      <xdr:row>19</xdr:row>
      <xdr:rowOff>219075</xdr:rowOff>
    </xdr:to>
    <xdr:sp>
      <xdr:nvSpPr>
        <xdr:cNvPr id="44" name="Line 95"/>
        <xdr:cNvSpPr>
          <a:spLocks/>
        </xdr:cNvSpPr>
      </xdr:nvSpPr>
      <xdr:spPr>
        <a:xfrm>
          <a:off x="809625" y="6286500"/>
          <a:ext cx="96488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xdr:row>
      <xdr:rowOff>180975</xdr:rowOff>
    </xdr:from>
    <xdr:to>
      <xdr:col>31</xdr:col>
      <xdr:colOff>9525</xdr:colOff>
      <xdr:row>20</xdr:row>
      <xdr:rowOff>180975</xdr:rowOff>
    </xdr:to>
    <xdr:sp>
      <xdr:nvSpPr>
        <xdr:cNvPr id="45" name="Line 96"/>
        <xdr:cNvSpPr>
          <a:spLocks/>
        </xdr:cNvSpPr>
      </xdr:nvSpPr>
      <xdr:spPr>
        <a:xfrm flipV="1">
          <a:off x="809625" y="6610350"/>
          <a:ext cx="9677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21</xdr:row>
      <xdr:rowOff>209550</xdr:rowOff>
    </xdr:from>
    <xdr:to>
      <xdr:col>31</xdr:col>
      <xdr:colOff>0</xdr:colOff>
      <xdr:row>21</xdr:row>
      <xdr:rowOff>209550</xdr:rowOff>
    </xdr:to>
    <xdr:sp>
      <xdr:nvSpPr>
        <xdr:cNvPr id="46" name="Line 97"/>
        <xdr:cNvSpPr>
          <a:spLocks/>
        </xdr:cNvSpPr>
      </xdr:nvSpPr>
      <xdr:spPr>
        <a:xfrm>
          <a:off x="809625" y="7000875"/>
          <a:ext cx="96678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190500</xdr:rowOff>
    </xdr:from>
    <xdr:to>
      <xdr:col>31</xdr:col>
      <xdr:colOff>28575</xdr:colOff>
      <xdr:row>16</xdr:row>
      <xdr:rowOff>190500</xdr:rowOff>
    </xdr:to>
    <xdr:sp>
      <xdr:nvSpPr>
        <xdr:cNvPr id="47" name="Line 98"/>
        <xdr:cNvSpPr>
          <a:spLocks/>
        </xdr:cNvSpPr>
      </xdr:nvSpPr>
      <xdr:spPr>
        <a:xfrm>
          <a:off x="809625" y="5172075"/>
          <a:ext cx="96964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18</xdr:row>
      <xdr:rowOff>180975</xdr:rowOff>
    </xdr:from>
    <xdr:to>
      <xdr:col>31</xdr:col>
      <xdr:colOff>19050</xdr:colOff>
      <xdr:row>18</xdr:row>
      <xdr:rowOff>180975</xdr:rowOff>
    </xdr:to>
    <xdr:sp>
      <xdr:nvSpPr>
        <xdr:cNvPr id="48" name="Line 99"/>
        <xdr:cNvSpPr>
          <a:spLocks/>
        </xdr:cNvSpPr>
      </xdr:nvSpPr>
      <xdr:spPr>
        <a:xfrm>
          <a:off x="809625" y="5886450"/>
          <a:ext cx="9686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200025</xdr:rowOff>
    </xdr:from>
    <xdr:to>
      <xdr:col>31</xdr:col>
      <xdr:colOff>0</xdr:colOff>
      <xdr:row>13</xdr:row>
      <xdr:rowOff>200025</xdr:rowOff>
    </xdr:to>
    <xdr:sp>
      <xdr:nvSpPr>
        <xdr:cNvPr id="49" name="Line 100"/>
        <xdr:cNvSpPr>
          <a:spLocks/>
        </xdr:cNvSpPr>
      </xdr:nvSpPr>
      <xdr:spPr>
        <a:xfrm>
          <a:off x="809625" y="4095750"/>
          <a:ext cx="96678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161925</xdr:rowOff>
    </xdr:from>
    <xdr:to>
      <xdr:col>31</xdr:col>
      <xdr:colOff>0</xdr:colOff>
      <xdr:row>14</xdr:row>
      <xdr:rowOff>161925</xdr:rowOff>
    </xdr:to>
    <xdr:sp>
      <xdr:nvSpPr>
        <xdr:cNvPr id="50" name="Line 101"/>
        <xdr:cNvSpPr>
          <a:spLocks/>
        </xdr:cNvSpPr>
      </xdr:nvSpPr>
      <xdr:spPr>
        <a:xfrm flipV="1">
          <a:off x="809625" y="4419600"/>
          <a:ext cx="96678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190500</xdr:rowOff>
    </xdr:from>
    <xdr:to>
      <xdr:col>31</xdr:col>
      <xdr:colOff>66675</xdr:colOff>
      <xdr:row>15</xdr:row>
      <xdr:rowOff>190500</xdr:rowOff>
    </xdr:to>
    <xdr:sp>
      <xdr:nvSpPr>
        <xdr:cNvPr id="51" name="Line 102"/>
        <xdr:cNvSpPr>
          <a:spLocks/>
        </xdr:cNvSpPr>
      </xdr:nvSpPr>
      <xdr:spPr>
        <a:xfrm>
          <a:off x="809625" y="4810125"/>
          <a:ext cx="9734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200025</xdr:rowOff>
    </xdr:from>
    <xdr:to>
      <xdr:col>31</xdr:col>
      <xdr:colOff>85725</xdr:colOff>
      <xdr:row>10</xdr:row>
      <xdr:rowOff>200025</xdr:rowOff>
    </xdr:to>
    <xdr:sp>
      <xdr:nvSpPr>
        <xdr:cNvPr id="52" name="Line 103"/>
        <xdr:cNvSpPr>
          <a:spLocks/>
        </xdr:cNvSpPr>
      </xdr:nvSpPr>
      <xdr:spPr>
        <a:xfrm>
          <a:off x="809625" y="3009900"/>
          <a:ext cx="97536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171450</xdr:rowOff>
    </xdr:from>
    <xdr:to>
      <xdr:col>31</xdr:col>
      <xdr:colOff>0</xdr:colOff>
      <xdr:row>11</xdr:row>
      <xdr:rowOff>171450</xdr:rowOff>
    </xdr:to>
    <xdr:sp>
      <xdr:nvSpPr>
        <xdr:cNvPr id="53" name="Line 104"/>
        <xdr:cNvSpPr>
          <a:spLocks/>
        </xdr:cNvSpPr>
      </xdr:nvSpPr>
      <xdr:spPr>
        <a:xfrm flipV="1">
          <a:off x="809625" y="3343275"/>
          <a:ext cx="96678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12</xdr:row>
      <xdr:rowOff>200025</xdr:rowOff>
    </xdr:from>
    <xdr:to>
      <xdr:col>31</xdr:col>
      <xdr:colOff>28575</xdr:colOff>
      <xdr:row>12</xdr:row>
      <xdr:rowOff>200025</xdr:rowOff>
    </xdr:to>
    <xdr:sp>
      <xdr:nvSpPr>
        <xdr:cNvPr id="54" name="Line 105"/>
        <xdr:cNvSpPr>
          <a:spLocks/>
        </xdr:cNvSpPr>
      </xdr:nvSpPr>
      <xdr:spPr>
        <a:xfrm>
          <a:off x="809625" y="3733800"/>
          <a:ext cx="96964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228600</xdr:rowOff>
    </xdr:from>
    <xdr:to>
      <xdr:col>30</xdr:col>
      <xdr:colOff>314325</xdr:colOff>
      <xdr:row>7</xdr:row>
      <xdr:rowOff>228600</xdr:rowOff>
    </xdr:to>
    <xdr:sp>
      <xdr:nvSpPr>
        <xdr:cNvPr id="55" name="Line 106"/>
        <xdr:cNvSpPr>
          <a:spLocks/>
        </xdr:cNvSpPr>
      </xdr:nvSpPr>
      <xdr:spPr>
        <a:xfrm>
          <a:off x="809625" y="1952625"/>
          <a:ext cx="9629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200025</xdr:rowOff>
    </xdr:from>
    <xdr:to>
      <xdr:col>30</xdr:col>
      <xdr:colOff>342900</xdr:colOff>
      <xdr:row>8</xdr:row>
      <xdr:rowOff>200025</xdr:rowOff>
    </xdr:to>
    <xdr:sp>
      <xdr:nvSpPr>
        <xdr:cNvPr id="56" name="Line 107"/>
        <xdr:cNvSpPr>
          <a:spLocks/>
        </xdr:cNvSpPr>
      </xdr:nvSpPr>
      <xdr:spPr>
        <a:xfrm flipV="1">
          <a:off x="809625" y="2286000"/>
          <a:ext cx="96583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200025</xdr:rowOff>
    </xdr:from>
    <xdr:to>
      <xdr:col>31</xdr:col>
      <xdr:colOff>28575</xdr:colOff>
      <xdr:row>9</xdr:row>
      <xdr:rowOff>200025</xdr:rowOff>
    </xdr:to>
    <xdr:sp>
      <xdr:nvSpPr>
        <xdr:cNvPr id="57" name="Line 108"/>
        <xdr:cNvSpPr>
          <a:spLocks/>
        </xdr:cNvSpPr>
      </xdr:nvSpPr>
      <xdr:spPr>
        <a:xfrm>
          <a:off x="809625" y="2647950"/>
          <a:ext cx="96964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85725</xdr:colOff>
      <xdr:row>28</xdr:row>
      <xdr:rowOff>0</xdr:rowOff>
    </xdr:from>
    <xdr:to>
      <xdr:col>19</xdr:col>
      <xdr:colOff>180975</xdr:colOff>
      <xdr:row>28</xdr:row>
      <xdr:rowOff>0</xdr:rowOff>
    </xdr:to>
    <xdr:sp>
      <xdr:nvSpPr>
        <xdr:cNvPr id="58" name="AutoShape 109"/>
        <xdr:cNvSpPr>
          <a:spLocks/>
        </xdr:cNvSpPr>
      </xdr:nvSpPr>
      <xdr:spPr>
        <a:xfrm>
          <a:off x="6124575" y="8915400"/>
          <a:ext cx="95250" cy="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19</xdr:col>
      <xdr:colOff>9525</xdr:colOff>
      <xdr:row>28</xdr:row>
      <xdr:rowOff>0</xdr:rowOff>
    </xdr:from>
    <xdr:to>
      <xdr:col>19</xdr:col>
      <xdr:colOff>104775</xdr:colOff>
      <xdr:row>28</xdr:row>
      <xdr:rowOff>0</xdr:rowOff>
    </xdr:to>
    <xdr:sp>
      <xdr:nvSpPr>
        <xdr:cNvPr id="59" name="AutoShape 110"/>
        <xdr:cNvSpPr>
          <a:spLocks/>
        </xdr:cNvSpPr>
      </xdr:nvSpPr>
      <xdr:spPr>
        <a:xfrm>
          <a:off x="6048375" y="8915400"/>
          <a:ext cx="95250" cy="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19</xdr:col>
      <xdr:colOff>180975</xdr:colOff>
      <xdr:row>28</xdr:row>
      <xdr:rowOff>0</xdr:rowOff>
    </xdr:from>
    <xdr:to>
      <xdr:col>19</xdr:col>
      <xdr:colOff>276225</xdr:colOff>
      <xdr:row>28</xdr:row>
      <xdr:rowOff>0</xdr:rowOff>
    </xdr:to>
    <xdr:sp>
      <xdr:nvSpPr>
        <xdr:cNvPr id="60" name="AutoShape 111"/>
        <xdr:cNvSpPr>
          <a:spLocks/>
        </xdr:cNvSpPr>
      </xdr:nvSpPr>
      <xdr:spPr>
        <a:xfrm>
          <a:off x="6219825" y="8915400"/>
          <a:ext cx="95250" cy="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21</xdr:col>
      <xdr:colOff>123825</xdr:colOff>
      <xdr:row>28</xdr:row>
      <xdr:rowOff>0</xdr:rowOff>
    </xdr:from>
    <xdr:to>
      <xdr:col>21</xdr:col>
      <xdr:colOff>219075</xdr:colOff>
      <xdr:row>28</xdr:row>
      <xdr:rowOff>0</xdr:rowOff>
    </xdr:to>
    <xdr:sp>
      <xdr:nvSpPr>
        <xdr:cNvPr id="61" name="AutoShape 112"/>
        <xdr:cNvSpPr>
          <a:spLocks/>
        </xdr:cNvSpPr>
      </xdr:nvSpPr>
      <xdr:spPr>
        <a:xfrm>
          <a:off x="6924675" y="8915400"/>
          <a:ext cx="95250" cy="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26</xdr:col>
      <xdr:colOff>142875</xdr:colOff>
      <xdr:row>28</xdr:row>
      <xdr:rowOff>0</xdr:rowOff>
    </xdr:from>
    <xdr:to>
      <xdr:col>26</xdr:col>
      <xdr:colOff>238125</xdr:colOff>
      <xdr:row>28</xdr:row>
      <xdr:rowOff>0</xdr:rowOff>
    </xdr:to>
    <xdr:sp>
      <xdr:nvSpPr>
        <xdr:cNvPr id="62" name="AutoShape 113"/>
        <xdr:cNvSpPr>
          <a:spLocks/>
        </xdr:cNvSpPr>
      </xdr:nvSpPr>
      <xdr:spPr>
        <a:xfrm>
          <a:off x="8801100" y="8915400"/>
          <a:ext cx="95250" cy="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23</xdr:col>
      <xdr:colOff>295275</xdr:colOff>
      <xdr:row>28</xdr:row>
      <xdr:rowOff>0</xdr:rowOff>
    </xdr:from>
    <xdr:to>
      <xdr:col>24</xdr:col>
      <xdr:colOff>19050</xdr:colOff>
      <xdr:row>28</xdr:row>
      <xdr:rowOff>0</xdr:rowOff>
    </xdr:to>
    <xdr:sp>
      <xdr:nvSpPr>
        <xdr:cNvPr id="63" name="AutoShape 114"/>
        <xdr:cNvSpPr>
          <a:spLocks/>
        </xdr:cNvSpPr>
      </xdr:nvSpPr>
      <xdr:spPr>
        <a:xfrm>
          <a:off x="7839075" y="8915400"/>
          <a:ext cx="95250" cy="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22</xdr:col>
      <xdr:colOff>219075</xdr:colOff>
      <xdr:row>28</xdr:row>
      <xdr:rowOff>0</xdr:rowOff>
    </xdr:from>
    <xdr:to>
      <xdr:col>22</xdr:col>
      <xdr:colOff>314325</xdr:colOff>
      <xdr:row>28</xdr:row>
      <xdr:rowOff>0</xdr:rowOff>
    </xdr:to>
    <xdr:sp>
      <xdr:nvSpPr>
        <xdr:cNvPr id="64" name="AutoShape 115"/>
        <xdr:cNvSpPr>
          <a:spLocks/>
        </xdr:cNvSpPr>
      </xdr:nvSpPr>
      <xdr:spPr>
        <a:xfrm>
          <a:off x="7391400" y="8915400"/>
          <a:ext cx="95250" cy="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26</xdr:col>
      <xdr:colOff>257175</xdr:colOff>
      <xdr:row>28</xdr:row>
      <xdr:rowOff>0</xdr:rowOff>
    </xdr:from>
    <xdr:to>
      <xdr:col>26</xdr:col>
      <xdr:colOff>352425</xdr:colOff>
      <xdr:row>28</xdr:row>
      <xdr:rowOff>0</xdr:rowOff>
    </xdr:to>
    <xdr:sp>
      <xdr:nvSpPr>
        <xdr:cNvPr id="65" name="AutoShape 116"/>
        <xdr:cNvSpPr>
          <a:spLocks/>
        </xdr:cNvSpPr>
      </xdr:nvSpPr>
      <xdr:spPr>
        <a:xfrm>
          <a:off x="8915400" y="8915400"/>
          <a:ext cx="95250" cy="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5</xdr:col>
      <xdr:colOff>0</xdr:colOff>
      <xdr:row>17</xdr:row>
      <xdr:rowOff>190500</xdr:rowOff>
    </xdr:from>
    <xdr:to>
      <xdr:col>31</xdr:col>
      <xdr:colOff>19050</xdr:colOff>
      <xdr:row>17</xdr:row>
      <xdr:rowOff>190500</xdr:rowOff>
    </xdr:to>
    <xdr:sp>
      <xdr:nvSpPr>
        <xdr:cNvPr id="66" name="Line 118"/>
        <xdr:cNvSpPr>
          <a:spLocks/>
        </xdr:cNvSpPr>
      </xdr:nvSpPr>
      <xdr:spPr>
        <a:xfrm>
          <a:off x="809625" y="5534025"/>
          <a:ext cx="9686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190500</xdr:colOff>
      <xdr:row>28</xdr:row>
      <xdr:rowOff>0</xdr:rowOff>
    </xdr:from>
    <xdr:to>
      <xdr:col>22</xdr:col>
      <xdr:colOff>285750</xdr:colOff>
      <xdr:row>28</xdr:row>
      <xdr:rowOff>0</xdr:rowOff>
    </xdr:to>
    <xdr:sp>
      <xdr:nvSpPr>
        <xdr:cNvPr id="67" name="AutoShape 121"/>
        <xdr:cNvSpPr>
          <a:spLocks/>
        </xdr:cNvSpPr>
      </xdr:nvSpPr>
      <xdr:spPr>
        <a:xfrm>
          <a:off x="7362825" y="8915400"/>
          <a:ext cx="95250" cy="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8</xdr:col>
      <xdr:colOff>76200</xdr:colOff>
      <xdr:row>8</xdr:row>
      <xdr:rowOff>57150</xdr:rowOff>
    </xdr:from>
    <xdr:to>
      <xdr:col>8</xdr:col>
      <xdr:colOff>352425</xdr:colOff>
      <xdr:row>8</xdr:row>
      <xdr:rowOff>333375</xdr:rowOff>
    </xdr:to>
    <xdr:sp>
      <xdr:nvSpPr>
        <xdr:cNvPr id="68" name="AutoShape 78"/>
        <xdr:cNvSpPr>
          <a:spLocks/>
        </xdr:cNvSpPr>
      </xdr:nvSpPr>
      <xdr:spPr>
        <a:xfrm>
          <a:off x="2000250" y="2143125"/>
          <a:ext cx="276225" cy="276225"/>
        </a:xfrm>
        <a:prstGeom prst="star5">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161925</xdr:colOff>
      <xdr:row>9</xdr:row>
      <xdr:rowOff>66675</xdr:rowOff>
    </xdr:from>
    <xdr:to>
      <xdr:col>11</xdr:col>
      <xdr:colOff>66675</xdr:colOff>
      <xdr:row>9</xdr:row>
      <xdr:rowOff>342900</xdr:rowOff>
    </xdr:to>
    <xdr:sp>
      <xdr:nvSpPr>
        <xdr:cNvPr id="69" name="AutoShape 79"/>
        <xdr:cNvSpPr>
          <a:spLocks/>
        </xdr:cNvSpPr>
      </xdr:nvSpPr>
      <xdr:spPr>
        <a:xfrm>
          <a:off x="2828925" y="2514600"/>
          <a:ext cx="276225" cy="276225"/>
        </a:xfrm>
        <a:prstGeom prst="star5">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190500</xdr:colOff>
      <xdr:row>10</xdr:row>
      <xdr:rowOff>57150</xdr:rowOff>
    </xdr:from>
    <xdr:to>
      <xdr:col>12</xdr:col>
      <xdr:colOff>95250</xdr:colOff>
      <xdr:row>10</xdr:row>
      <xdr:rowOff>333375</xdr:rowOff>
    </xdr:to>
    <xdr:sp>
      <xdr:nvSpPr>
        <xdr:cNvPr id="70" name="AutoShape 80"/>
        <xdr:cNvSpPr>
          <a:spLocks/>
        </xdr:cNvSpPr>
      </xdr:nvSpPr>
      <xdr:spPr>
        <a:xfrm>
          <a:off x="3228975" y="2867025"/>
          <a:ext cx="276225" cy="276225"/>
        </a:xfrm>
        <a:prstGeom prst="star5">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11</xdr:row>
      <xdr:rowOff>9525</xdr:rowOff>
    </xdr:from>
    <xdr:to>
      <xdr:col>13</xdr:col>
      <xdr:colOff>114300</xdr:colOff>
      <xdr:row>11</xdr:row>
      <xdr:rowOff>285750</xdr:rowOff>
    </xdr:to>
    <xdr:sp>
      <xdr:nvSpPr>
        <xdr:cNvPr id="71" name="AutoShape 81"/>
        <xdr:cNvSpPr>
          <a:spLocks/>
        </xdr:cNvSpPr>
      </xdr:nvSpPr>
      <xdr:spPr>
        <a:xfrm>
          <a:off x="3619500" y="3181350"/>
          <a:ext cx="276225" cy="276225"/>
        </a:xfrm>
        <a:prstGeom prst="star5">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276225</xdr:colOff>
      <xdr:row>12</xdr:row>
      <xdr:rowOff>47625</xdr:rowOff>
    </xdr:from>
    <xdr:to>
      <xdr:col>14</xdr:col>
      <xdr:colOff>180975</xdr:colOff>
      <xdr:row>12</xdr:row>
      <xdr:rowOff>323850</xdr:rowOff>
    </xdr:to>
    <xdr:sp>
      <xdr:nvSpPr>
        <xdr:cNvPr id="72" name="AutoShape 82"/>
        <xdr:cNvSpPr>
          <a:spLocks/>
        </xdr:cNvSpPr>
      </xdr:nvSpPr>
      <xdr:spPr>
        <a:xfrm>
          <a:off x="4057650" y="3581400"/>
          <a:ext cx="276225" cy="276225"/>
        </a:xfrm>
        <a:prstGeom prst="star5">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200025</xdr:colOff>
      <xdr:row>13</xdr:row>
      <xdr:rowOff>38100</xdr:rowOff>
    </xdr:from>
    <xdr:to>
      <xdr:col>15</xdr:col>
      <xdr:colOff>104775</xdr:colOff>
      <xdr:row>13</xdr:row>
      <xdr:rowOff>314325</xdr:rowOff>
    </xdr:to>
    <xdr:sp>
      <xdr:nvSpPr>
        <xdr:cNvPr id="73" name="AutoShape 83"/>
        <xdr:cNvSpPr>
          <a:spLocks/>
        </xdr:cNvSpPr>
      </xdr:nvSpPr>
      <xdr:spPr>
        <a:xfrm>
          <a:off x="4352925" y="3933825"/>
          <a:ext cx="276225" cy="276225"/>
        </a:xfrm>
        <a:prstGeom prst="star5">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190500</xdr:colOff>
      <xdr:row>14</xdr:row>
      <xdr:rowOff>28575</xdr:rowOff>
    </xdr:from>
    <xdr:to>
      <xdr:col>16</xdr:col>
      <xdr:colOff>95250</xdr:colOff>
      <xdr:row>14</xdr:row>
      <xdr:rowOff>304800</xdr:rowOff>
    </xdr:to>
    <xdr:sp>
      <xdr:nvSpPr>
        <xdr:cNvPr id="74" name="AutoShape 84"/>
        <xdr:cNvSpPr>
          <a:spLocks/>
        </xdr:cNvSpPr>
      </xdr:nvSpPr>
      <xdr:spPr>
        <a:xfrm>
          <a:off x="4714875" y="4286250"/>
          <a:ext cx="276225" cy="276225"/>
        </a:xfrm>
        <a:prstGeom prst="star5">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219075</xdr:colOff>
      <xdr:row>15</xdr:row>
      <xdr:rowOff>47625</xdr:rowOff>
    </xdr:from>
    <xdr:to>
      <xdr:col>18</xdr:col>
      <xdr:colOff>114300</xdr:colOff>
      <xdr:row>15</xdr:row>
      <xdr:rowOff>323850</xdr:rowOff>
    </xdr:to>
    <xdr:sp>
      <xdr:nvSpPr>
        <xdr:cNvPr id="75" name="AutoShape 85"/>
        <xdr:cNvSpPr>
          <a:spLocks/>
        </xdr:cNvSpPr>
      </xdr:nvSpPr>
      <xdr:spPr>
        <a:xfrm>
          <a:off x="5495925" y="4667250"/>
          <a:ext cx="276225" cy="276225"/>
        </a:xfrm>
        <a:prstGeom prst="star5">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16</xdr:row>
      <xdr:rowOff>57150</xdr:rowOff>
    </xdr:from>
    <xdr:to>
      <xdr:col>19</xdr:col>
      <xdr:colOff>285750</xdr:colOff>
      <xdr:row>16</xdr:row>
      <xdr:rowOff>333375</xdr:rowOff>
    </xdr:to>
    <xdr:sp>
      <xdr:nvSpPr>
        <xdr:cNvPr id="76" name="AutoShape 86"/>
        <xdr:cNvSpPr>
          <a:spLocks/>
        </xdr:cNvSpPr>
      </xdr:nvSpPr>
      <xdr:spPr>
        <a:xfrm>
          <a:off x="6048375" y="5038725"/>
          <a:ext cx="276225" cy="276225"/>
        </a:xfrm>
        <a:prstGeom prst="star5">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171450</xdr:colOff>
      <xdr:row>17</xdr:row>
      <xdr:rowOff>57150</xdr:rowOff>
    </xdr:from>
    <xdr:to>
      <xdr:col>19</xdr:col>
      <xdr:colOff>66675</xdr:colOff>
      <xdr:row>17</xdr:row>
      <xdr:rowOff>333375</xdr:rowOff>
    </xdr:to>
    <xdr:sp>
      <xdr:nvSpPr>
        <xdr:cNvPr id="77" name="AutoShape 87"/>
        <xdr:cNvSpPr>
          <a:spLocks/>
        </xdr:cNvSpPr>
      </xdr:nvSpPr>
      <xdr:spPr>
        <a:xfrm>
          <a:off x="5829300" y="5400675"/>
          <a:ext cx="276225" cy="276225"/>
        </a:xfrm>
        <a:prstGeom prst="star5">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38100</xdr:colOff>
      <xdr:row>18</xdr:row>
      <xdr:rowOff>57150</xdr:rowOff>
    </xdr:from>
    <xdr:to>
      <xdr:col>20</xdr:col>
      <xdr:colOff>314325</xdr:colOff>
      <xdr:row>18</xdr:row>
      <xdr:rowOff>333375</xdr:rowOff>
    </xdr:to>
    <xdr:sp>
      <xdr:nvSpPr>
        <xdr:cNvPr id="78" name="AutoShape 88"/>
        <xdr:cNvSpPr>
          <a:spLocks/>
        </xdr:cNvSpPr>
      </xdr:nvSpPr>
      <xdr:spPr>
        <a:xfrm>
          <a:off x="6457950" y="57626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19</xdr:row>
      <xdr:rowOff>76200</xdr:rowOff>
    </xdr:from>
    <xdr:to>
      <xdr:col>21</xdr:col>
      <xdr:colOff>276225</xdr:colOff>
      <xdr:row>19</xdr:row>
      <xdr:rowOff>352425</xdr:rowOff>
    </xdr:to>
    <xdr:sp>
      <xdr:nvSpPr>
        <xdr:cNvPr id="79" name="AutoShape 89"/>
        <xdr:cNvSpPr>
          <a:spLocks/>
        </xdr:cNvSpPr>
      </xdr:nvSpPr>
      <xdr:spPr>
        <a:xfrm>
          <a:off x="6800850" y="61436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285750</xdr:colOff>
      <xdr:row>20</xdr:row>
      <xdr:rowOff>38100</xdr:rowOff>
    </xdr:from>
    <xdr:to>
      <xdr:col>22</xdr:col>
      <xdr:colOff>190500</xdr:colOff>
      <xdr:row>20</xdr:row>
      <xdr:rowOff>314325</xdr:rowOff>
    </xdr:to>
    <xdr:sp>
      <xdr:nvSpPr>
        <xdr:cNvPr id="80" name="AutoShape 90"/>
        <xdr:cNvSpPr>
          <a:spLocks/>
        </xdr:cNvSpPr>
      </xdr:nvSpPr>
      <xdr:spPr>
        <a:xfrm>
          <a:off x="7086600" y="646747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200025</xdr:colOff>
      <xdr:row>21</xdr:row>
      <xdr:rowOff>76200</xdr:rowOff>
    </xdr:from>
    <xdr:to>
      <xdr:col>23</xdr:col>
      <xdr:colOff>104775</xdr:colOff>
      <xdr:row>21</xdr:row>
      <xdr:rowOff>352425</xdr:rowOff>
    </xdr:to>
    <xdr:sp>
      <xdr:nvSpPr>
        <xdr:cNvPr id="81" name="AutoShape 91"/>
        <xdr:cNvSpPr>
          <a:spLocks/>
        </xdr:cNvSpPr>
      </xdr:nvSpPr>
      <xdr:spPr>
        <a:xfrm>
          <a:off x="7372350" y="68675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76200</xdr:colOff>
      <xdr:row>22</xdr:row>
      <xdr:rowOff>66675</xdr:rowOff>
    </xdr:from>
    <xdr:to>
      <xdr:col>23</xdr:col>
      <xdr:colOff>352425</xdr:colOff>
      <xdr:row>22</xdr:row>
      <xdr:rowOff>342900</xdr:rowOff>
    </xdr:to>
    <xdr:sp>
      <xdr:nvSpPr>
        <xdr:cNvPr id="82" name="AutoShape 92"/>
        <xdr:cNvSpPr>
          <a:spLocks/>
        </xdr:cNvSpPr>
      </xdr:nvSpPr>
      <xdr:spPr>
        <a:xfrm>
          <a:off x="7620000" y="721995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209550</xdr:colOff>
      <xdr:row>24</xdr:row>
      <xdr:rowOff>47625</xdr:rowOff>
    </xdr:from>
    <xdr:to>
      <xdr:col>25</xdr:col>
      <xdr:colOff>114300</xdr:colOff>
      <xdr:row>24</xdr:row>
      <xdr:rowOff>323850</xdr:rowOff>
    </xdr:to>
    <xdr:sp>
      <xdr:nvSpPr>
        <xdr:cNvPr id="83" name="AutoShape 93"/>
        <xdr:cNvSpPr>
          <a:spLocks/>
        </xdr:cNvSpPr>
      </xdr:nvSpPr>
      <xdr:spPr>
        <a:xfrm>
          <a:off x="8124825" y="79248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333375</xdr:colOff>
      <xdr:row>23</xdr:row>
      <xdr:rowOff>19050</xdr:rowOff>
    </xdr:from>
    <xdr:to>
      <xdr:col>24</xdr:col>
      <xdr:colOff>238125</xdr:colOff>
      <xdr:row>23</xdr:row>
      <xdr:rowOff>295275</xdr:rowOff>
    </xdr:to>
    <xdr:sp>
      <xdr:nvSpPr>
        <xdr:cNvPr id="84" name="AutoShape 94"/>
        <xdr:cNvSpPr>
          <a:spLocks/>
        </xdr:cNvSpPr>
      </xdr:nvSpPr>
      <xdr:spPr>
        <a:xfrm>
          <a:off x="7877175" y="753427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26</xdr:row>
      <xdr:rowOff>114300</xdr:rowOff>
    </xdr:from>
    <xdr:to>
      <xdr:col>32</xdr:col>
      <xdr:colOff>0</xdr:colOff>
      <xdr:row>27</xdr:row>
      <xdr:rowOff>123825</xdr:rowOff>
    </xdr:to>
    <xdr:sp>
      <xdr:nvSpPr>
        <xdr:cNvPr id="85" name="Oval 236"/>
        <xdr:cNvSpPr>
          <a:spLocks/>
        </xdr:cNvSpPr>
      </xdr:nvSpPr>
      <xdr:spPr>
        <a:xfrm>
          <a:off x="10829925" y="8477250"/>
          <a:ext cx="0"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19</xdr:row>
      <xdr:rowOff>219075</xdr:rowOff>
    </xdr:from>
    <xdr:to>
      <xdr:col>30</xdr:col>
      <xdr:colOff>333375</xdr:colOff>
      <xdr:row>19</xdr:row>
      <xdr:rowOff>219075</xdr:rowOff>
    </xdr:to>
    <xdr:sp>
      <xdr:nvSpPr>
        <xdr:cNvPr id="86" name="Line 241"/>
        <xdr:cNvSpPr>
          <a:spLocks/>
        </xdr:cNvSpPr>
      </xdr:nvSpPr>
      <xdr:spPr>
        <a:xfrm>
          <a:off x="809625" y="6286500"/>
          <a:ext cx="96488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8</xdr:row>
      <xdr:rowOff>76200</xdr:rowOff>
    </xdr:from>
    <xdr:to>
      <xdr:col>8</xdr:col>
      <xdr:colOff>333375</xdr:colOff>
      <xdr:row>9</xdr:row>
      <xdr:rowOff>19050</xdr:rowOff>
    </xdr:to>
    <xdr:sp>
      <xdr:nvSpPr>
        <xdr:cNvPr id="87" name="AutoShape 245"/>
        <xdr:cNvSpPr>
          <a:spLocks/>
        </xdr:cNvSpPr>
      </xdr:nvSpPr>
      <xdr:spPr>
        <a:xfrm flipV="1">
          <a:off x="2019300" y="2162175"/>
          <a:ext cx="238125" cy="30480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219075</xdr:colOff>
      <xdr:row>14</xdr:row>
      <xdr:rowOff>28575</xdr:rowOff>
    </xdr:from>
    <xdr:to>
      <xdr:col>16</xdr:col>
      <xdr:colOff>85725</xdr:colOff>
      <xdr:row>14</xdr:row>
      <xdr:rowOff>333375</xdr:rowOff>
    </xdr:to>
    <xdr:sp>
      <xdr:nvSpPr>
        <xdr:cNvPr id="88" name="AutoShape 246"/>
        <xdr:cNvSpPr>
          <a:spLocks/>
        </xdr:cNvSpPr>
      </xdr:nvSpPr>
      <xdr:spPr>
        <a:xfrm flipV="1">
          <a:off x="4743450" y="4286250"/>
          <a:ext cx="238125" cy="30480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228600</xdr:colOff>
      <xdr:row>15</xdr:row>
      <xdr:rowOff>66675</xdr:rowOff>
    </xdr:from>
    <xdr:to>
      <xdr:col>18</xdr:col>
      <xdr:colOff>85725</xdr:colOff>
      <xdr:row>16</xdr:row>
      <xdr:rowOff>9525</xdr:rowOff>
    </xdr:to>
    <xdr:sp>
      <xdr:nvSpPr>
        <xdr:cNvPr id="89" name="AutoShape 247"/>
        <xdr:cNvSpPr>
          <a:spLocks/>
        </xdr:cNvSpPr>
      </xdr:nvSpPr>
      <xdr:spPr>
        <a:xfrm flipV="1">
          <a:off x="5505450" y="4686300"/>
          <a:ext cx="238125" cy="30480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16</xdr:row>
      <xdr:rowOff>57150</xdr:rowOff>
    </xdr:from>
    <xdr:to>
      <xdr:col>19</xdr:col>
      <xdr:colOff>371475</xdr:colOff>
      <xdr:row>17</xdr:row>
      <xdr:rowOff>0</xdr:rowOff>
    </xdr:to>
    <xdr:sp>
      <xdr:nvSpPr>
        <xdr:cNvPr id="90" name="AutoShape 248"/>
        <xdr:cNvSpPr>
          <a:spLocks/>
        </xdr:cNvSpPr>
      </xdr:nvSpPr>
      <xdr:spPr>
        <a:xfrm flipV="1">
          <a:off x="6172200" y="5038725"/>
          <a:ext cx="238125" cy="30480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257175</xdr:colOff>
      <xdr:row>17</xdr:row>
      <xdr:rowOff>66675</xdr:rowOff>
    </xdr:from>
    <xdr:to>
      <xdr:col>19</xdr:col>
      <xdr:colOff>114300</xdr:colOff>
      <xdr:row>18</xdr:row>
      <xdr:rowOff>9525</xdr:rowOff>
    </xdr:to>
    <xdr:sp>
      <xdr:nvSpPr>
        <xdr:cNvPr id="91" name="AutoShape 249"/>
        <xdr:cNvSpPr>
          <a:spLocks/>
        </xdr:cNvSpPr>
      </xdr:nvSpPr>
      <xdr:spPr>
        <a:xfrm flipV="1">
          <a:off x="5915025" y="5410200"/>
          <a:ext cx="238125" cy="30480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104775</xdr:colOff>
      <xdr:row>18</xdr:row>
      <xdr:rowOff>66675</xdr:rowOff>
    </xdr:from>
    <xdr:to>
      <xdr:col>20</xdr:col>
      <xdr:colOff>342900</xdr:colOff>
      <xdr:row>19</xdr:row>
      <xdr:rowOff>9525</xdr:rowOff>
    </xdr:to>
    <xdr:sp>
      <xdr:nvSpPr>
        <xdr:cNvPr id="92" name="AutoShape 250"/>
        <xdr:cNvSpPr>
          <a:spLocks/>
        </xdr:cNvSpPr>
      </xdr:nvSpPr>
      <xdr:spPr>
        <a:xfrm flipV="1">
          <a:off x="6524625" y="5772150"/>
          <a:ext cx="238125" cy="304800"/>
        </a:xfrm>
        <a:prstGeom prst="triangle">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66675</xdr:colOff>
      <xdr:row>20</xdr:row>
      <xdr:rowOff>47625</xdr:rowOff>
    </xdr:from>
    <xdr:to>
      <xdr:col>22</xdr:col>
      <xdr:colOff>304800</xdr:colOff>
      <xdr:row>20</xdr:row>
      <xdr:rowOff>352425</xdr:rowOff>
    </xdr:to>
    <xdr:sp>
      <xdr:nvSpPr>
        <xdr:cNvPr id="93" name="AutoShape 251"/>
        <xdr:cNvSpPr>
          <a:spLocks/>
        </xdr:cNvSpPr>
      </xdr:nvSpPr>
      <xdr:spPr>
        <a:xfrm flipV="1">
          <a:off x="7239000" y="6477000"/>
          <a:ext cx="238125" cy="304800"/>
        </a:xfrm>
        <a:prstGeom prst="triangle">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104775</xdr:colOff>
      <xdr:row>21</xdr:row>
      <xdr:rowOff>66675</xdr:rowOff>
    </xdr:from>
    <xdr:to>
      <xdr:col>23</xdr:col>
      <xdr:colOff>342900</xdr:colOff>
      <xdr:row>22</xdr:row>
      <xdr:rowOff>9525</xdr:rowOff>
    </xdr:to>
    <xdr:sp>
      <xdr:nvSpPr>
        <xdr:cNvPr id="94" name="AutoShape 252"/>
        <xdr:cNvSpPr>
          <a:spLocks/>
        </xdr:cNvSpPr>
      </xdr:nvSpPr>
      <xdr:spPr>
        <a:xfrm flipV="1">
          <a:off x="7648575" y="6858000"/>
          <a:ext cx="238125" cy="304800"/>
        </a:xfrm>
        <a:prstGeom prst="triangle">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66675</xdr:colOff>
      <xdr:row>22</xdr:row>
      <xdr:rowOff>76200</xdr:rowOff>
    </xdr:from>
    <xdr:to>
      <xdr:col>24</xdr:col>
      <xdr:colOff>304800</xdr:colOff>
      <xdr:row>23</xdr:row>
      <xdr:rowOff>19050</xdr:rowOff>
    </xdr:to>
    <xdr:sp>
      <xdr:nvSpPr>
        <xdr:cNvPr id="95" name="AutoShape 253"/>
        <xdr:cNvSpPr>
          <a:spLocks/>
        </xdr:cNvSpPr>
      </xdr:nvSpPr>
      <xdr:spPr>
        <a:xfrm flipV="1">
          <a:off x="7981950" y="7229475"/>
          <a:ext cx="238125" cy="304800"/>
        </a:xfrm>
        <a:prstGeom prst="triangle">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57150</xdr:colOff>
      <xdr:row>23</xdr:row>
      <xdr:rowOff>28575</xdr:rowOff>
    </xdr:from>
    <xdr:to>
      <xdr:col>25</xdr:col>
      <xdr:colOff>295275</xdr:colOff>
      <xdr:row>23</xdr:row>
      <xdr:rowOff>333375</xdr:rowOff>
    </xdr:to>
    <xdr:sp>
      <xdr:nvSpPr>
        <xdr:cNvPr id="96" name="AutoShape 254"/>
        <xdr:cNvSpPr>
          <a:spLocks/>
        </xdr:cNvSpPr>
      </xdr:nvSpPr>
      <xdr:spPr>
        <a:xfrm flipV="1">
          <a:off x="8343900" y="7543800"/>
          <a:ext cx="238125" cy="304800"/>
        </a:xfrm>
        <a:prstGeom prst="triangle">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57150</xdr:colOff>
      <xdr:row>24</xdr:row>
      <xdr:rowOff>38100</xdr:rowOff>
    </xdr:from>
    <xdr:to>
      <xdr:col>26</xdr:col>
      <xdr:colOff>295275</xdr:colOff>
      <xdr:row>24</xdr:row>
      <xdr:rowOff>342900</xdr:rowOff>
    </xdr:to>
    <xdr:sp>
      <xdr:nvSpPr>
        <xdr:cNvPr id="97" name="AutoShape 255"/>
        <xdr:cNvSpPr>
          <a:spLocks/>
        </xdr:cNvSpPr>
      </xdr:nvSpPr>
      <xdr:spPr>
        <a:xfrm flipV="1">
          <a:off x="8715375" y="7915275"/>
          <a:ext cx="238125" cy="304800"/>
        </a:xfrm>
        <a:prstGeom prst="triangle">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85725</xdr:colOff>
      <xdr:row>19</xdr:row>
      <xdr:rowOff>95250</xdr:rowOff>
    </xdr:from>
    <xdr:to>
      <xdr:col>21</xdr:col>
      <xdr:colOff>323850</xdr:colOff>
      <xdr:row>20</xdr:row>
      <xdr:rowOff>38100</xdr:rowOff>
    </xdr:to>
    <xdr:sp>
      <xdr:nvSpPr>
        <xdr:cNvPr id="98" name="AutoShape 256"/>
        <xdr:cNvSpPr>
          <a:spLocks/>
        </xdr:cNvSpPr>
      </xdr:nvSpPr>
      <xdr:spPr>
        <a:xfrm flipV="1">
          <a:off x="6886575" y="6162675"/>
          <a:ext cx="238125" cy="304800"/>
        </a:xfrm>
        <a:prstGeom prst="triangle">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295275</xdr:colOff>
      <xdr:row>12</xdr:row>
      <xdr:rowOff>57150</xdr:rowOff>
    </xdr:from>
    <xdr:to>
      <xdr:col>14</xdr:col>
      <xdr:colOff>161925</xdr:colOff>
      <xdr:row>13</xdr:row>
      <xdr:rowOff>0</xdr:rowOff>
    </xdr:to>
    <xdr:sp>
      <xdr:nvSpPr>
        <xdr:cNvPr id="99" name="AutoShape 257"/>
        <xdr:cNvSpPr>
          <a:spLocks/>
        </xdr:cNvSpPr>
      </xdr:nvSpPr>
      <xdr:spPr>
        <a:xfrm flipV="1">
          <a:off x="4076700" y="3590925"/>
          <a:ext cx="238125" cy="30480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228600</xdr:colOff>
      <xdr:row>13</xdr:row>
      <xdr:rowOff>57150</xdr:rowOff>
    </xdr:from>
    <xdr:to>
      <xdr:col>15</xdr:col>
      <xdr:colOff>95250</xdr:colOff>
      <xdr:row>14</xdr:row>
      <xdr:rowOff>0</xdr:rowOff>
    </xdr:to>
    <xdr:sp>
      <xdr:nvSpPr>
        <xdr:cNvPr id="100" name="AutoShape 258"/>
        <xdr:cNvSpPr>
          <a:spLocks/>
        </xdr:cNvSpPr>
      </xdr:nvSpPr>
      <xdr:spPr>
        <a:xfrm flipV="1">
          <a:off x="4381500" y="3952875"/>
          <a:ext cx="238125" cy="30480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7</xdr:row>
      <xdr:rowOff>95250</xdr:rowOff>
    </xdr:from>
    <xdr:to>
      <xdr:col>6</xdr:col>
      <xdr:colOff>152400</xdr:colOff>
      <xdr:row>8</xdr:row>
      <xdr:rowOff>38100</xdr:rowOff>
    </xdr:to>
    <xdr:sp>
      <xdr:nvSpPr>
        <xdr:cNvPr id="101" name="AutoShape 259"/>
        <xdr:cNvSpPr>
          <a:spLocks/>
        </xdr:cNvSpPr>
      </xdr:nvSpPr>
      <xdr:spPr>
        <a:xfrm flipV="1">
          <a:off x="1095375" y="1819275"/>
          <a:ext cx="238125" cy="30480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180975</xdr:colOff>
      <xdr:row>9</xdr:row>
      <xdr:rowOff>85725</xdr:rowOff>
    </xdr:from>
    <xdr:to>
      <xdr:col>11</xdr:col>
      <xdr:colOff>47625</xdr:colOff>
      <xdr:row>10</xdr:row>
      <xdr:rowOff>28575</xdr:rowOff>
    </xdr:to>
    <xdr:sp>
      <xdr:nvSpPr>
        <xdr:cNvPr id="102" name="AutoShape 260"/>
        <xdr:cNvSpPr>
          <a:spLocks/>
        </xdr:cNvSpPr>
      </xdr:nvSpPr>
      <xdr:spPr>
        <a:xfrm flipV="1">
          <a:off x="2847975" y="2533650"/>
          <a:ext cx="238125" cy="30480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200025</xdr:colOff>
      <xdr:row>10</xdr:row>
      <xdr:rowOff>76200</xdr:rowOff>
    </xdr:from>
    <xdr:to>
      <xdr:col>12</xdr:col>
      <xdr:colOff>66675</xdr:colOff>
      <xdr:row>11</xdr:row>
      <xdr:rowOff>19050</xdr:rowOff>
    </xdr:to>
    <xdr:sp>
      <xdr:nvSpPr>
        <xdr:cNvPr id="103" name="AutoShape 261"/>
        <xdr:cNvSpPr>
          <a:spLocks/>
        </xdr:cNvSpPr>
      </xdr:nvSpPr>
      <xdr:spPr>
        <a:xfrm flipV="1">
          <a:off x="3238500" y="2886075"/>
          <a:ext cx="238125" cy="30480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219075</xdr:colOff>
      <xdr:row>11</xdr:row>
      <xdr:rowOff>19050</xdr:rowOff>
    </xdr:from>
    <xdr:to>
      <xdr:col>13</xdr:col>
      <xdr:colOff>85725</xdr:colOff>
      <xdr:row>11</xdr:row>
      <xdr:rowOff>323850</xdr:rowOff>
    </xdr:to>
    <xdr:sp>
      <xdr:nvSpPr>
        <xdr:cNvPr id="104" name="AutoShape 262"/>
        <xdr:cNvSpPr>
          <a:spLocks/>
        </xdr:cNvSpPr>
      </xdr:nvSpPr>
      <xdr:spPr>
        <a:xfrm flipV="1">
          <a:off x="3629025" y="3190875"/>
          <a:ext cx="238125" cy="30480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xdr:row>
      <xdr:rowOff>19050</xdr:rowOff>
    </xdr:from>
    <xdr:to>
      <xdr:col>11</xdr:col>
      <xdr:colOff>314325</xdr:colOff>
      <xdr:row>2</xdr:row>
      <xdr:rowOff>133350</xdr:rowOff>
    </xdr:to>
    <xdr:sp>
      <xdr:nvSpPr>
        <xdr:cNvPr id="105" name="AutoShape 263"/>
        <xdr:cNvSpPr>
          <a:spLocks/>
        </xdr:cNvSpPr>
      </xdr:nvSpPr>
      <xdr:spPr>
        <a:xfrm flipV="1">
          <a:off x="3114675" y="323850"/>
          <a:ext cx="238125" cy="304800"/>
        </a:xfrm>
        <a:prstGeom prst="triangle">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295275</xdr:colOff>
      <xdr:row>18</xdr:row>
      <xdr:rowOff>114300</xdr:rowOff>
    </xdr:from>
    <xdr:to>
      <xdr:col>22</xdr:col>
      <xdr:colOff>85725</xdr:colOff>
      <xdr:row>18</xdr:row>
      <xdr:rowOff>342900</xdr:rowOff>
    </xdr:to>
    <xdr:sp>
      <xdr:nvSpPr>
        <xdr:cNvPr id="106" name="AutoShape 264"/>
        <xdr:cNvSpPr>
          <a:spLocks/>
        </xdr:cNvSpPr>
      </xdr:nvSpPr>
      <xdr:spPr>
        <a:xfrm flipV="1">
          <a:off x="7096125" y="5819775"/>
          <a:ext cx="161925" cy="228600"/>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219075</xdr:colOff>
      <xdr:row>20</xdr:row>
      <xdr:rowOff>76200</xdr:rowOff>
    </xdr:from>
    <xdr:to>
      <xdr:col>25</xdr:col>
      <xdr:colOff>9525</xdr:colOff>
      <xdr:row>20</xdr:row>
      <xdr:rowOff>304800</xdr:rowOff>
    </xdr:to>
    <xdr:sp>
      <xdr:nvSpPr>
        <xdr:cNvPr id="107" name="AutoShape 265"/>
        <xdr:cNvSpPr>
          <a:spLocks/>
        </xdr:cNvSpPr>
      </xdr:nvSpPr>
      <xdr:spPr>
        <a:xfrm flipV="1">
          <a:off x="8134350" y="6505575"/>
          <a:ext cx="161925" cy="228600"/>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228600</xdr:colOff>
      <xdr:row>21</xdr:row>
      <xdr:rowOff>104775</xdr:rowOff>
    </xdr:from>
    <xdr:to>
      <xdr:col>26</xdr:col>
      <xdr:colOff>19050</xdr:colOff>
      <xdr:row>21</xdr:row>
      <xdr:rowOff>333375</xdr:rowOff>
    </xdr:to>
    <xdr:sp>
      <xdr:nvSpPr>
        <xdr:cNvPr id="108" name="AutoShape 266"/>
        <xdr:cNvSpPr>
          <a:spLocks/>
        </xdr:cNvSpPr>
      </xdr:nvSpPr>
      <xdr:spPr>
        <a:xfrm flipV="1">
          <a:off x="8515350" y="6896100"/>
          <a:ext cx="161925" cy="228600"/>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114300</xdr:colOff>
      <xdr:row>22</xdr:row>
      <xdr:rowOff>85725</xdr:rowOff>
    </xdr:from>
    <xdr:to>
      <xdr:col>26</xdr:col>
      <xdr:colOff>276225</xdr:colOff>
      <xdr:row>22</xdr:row>
      <xdr:rowOff>314325</xdr:rowOff>
    </xdr:to>
    <xdr:sp>
      <xdr:nvSpPr>
        <xdr:cNvPr id="109" name="AutoShape 267"/>
        <xdr:cNvSpPr>
          <a:spLocks/>
        </xdr:cNvSpPr>
      </xdr:nvSpPr>
      <xdr:spPr>
        <a:xfrm flipV="1">
          <a:off x="8772525" y="7239000"/>
          <a:ext cx="161925" cy="228600"/>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342900</xdr:colOff>
      <xdr:row>23</xdr:row>
      <xdr:rowOff>66675</xdr:rowOff>
    </xdr:from>
    <xdr:to>
      <xdr:col>28</xdr:col>
      <xdr:colOff>133350</xdr:colOff>
      <xdr:row>23</xdr:row>
      <xdr:rowOff>295275</xdr:rowOff>
    </xdr:to>
    <xdr:sp>
      <xdr:nvSpPr>
        <xdr:cNvPr id="110" name="AutoShape 268"/>
        <xdr:cNvSpPr>
          <a:spLocks/>
        </xdr:cNvSpPr>
      </xdr:nvSpPr>
      <xdr:spPr>
        <a:xfrm flipV="1">
          <a:off x="9372600" y="7581900"/>
          <a:ext cx="161925" cy="228600"/>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257175</xdr:colOff>
      <xdr:row>24</xdr:row>
      <xdr:rowOff>85725</xdr:rowOff>
    </xdr:from>
    <xdr:to>
      <xdr:col>29</xdr:col>
      <xdr:colOff>47625</xdr:colOff>
      <xdr:row>24</xdr:row>
      <xdr:rowOff>314325</xdr:rowOff>
    </xdr:to>
    <xdr:sp>
      <xdr:nvSpPr>
        <xdr:cNvPr id="111" name="AutoShape 269"/>
        <xdr:cNvSpPr>
          <a:spLocks/>
        </xdr:cNvSpPr>
      </xdr:nvSpPr>
      <xdr:spPr>
        <a:xfrm flipV="1">
          <a:off x="9658350" y="7962900"/>
          <a:ext cx="161925" cy="228600"/>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38100</xdr:colOff>
      <xdr:row>19</xdr:row>
      <xdr:rowOff>123825</xdr:rowOff>
    </xdr:from>
    <xdr:to>
      <xdr:col>23</xdr:col>
      <xdr:colOff>200025</xdr:colOff>
      <xdr:row>19</xdr:row>
      <xdr:rowOff>352425</xdr:rowOff>
    </xdr:to>
    <xdr:sp>
      <xdr:nvSpPr>
        <xdr:cNvPr id="112" name="AutoShape 270"/>
        <xdr:cNvSpPr>
          <a:spLocks/>
        </xdr:cNvSpPr>
      </xdr:nvSpPr>
      <xdr:spPr>
        <a:xfrm flipV="1">
          <a:off x="7581900" y="6191250"/>
          <a:ext cx="161925" cy="228600"/>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123825</xdr:colOff>
      <xdr:row>1</xdr:row>
      <xdr:rowOff>38100</xdr:rowOff>
    </xdr:from>
    <xdr:to>
      <xdr:col>15</xdr:col>
      <xdr:colOff>285750</xdr:colOff>
      <xdr:row>2</xdr:row>
      <xdr:rowOff>76200</xdr:rowOff>
    </xdr:to>
    <xdr:sp>
      <xdr:nvSpPr>
        <xdr:cNvPr id="113" name="AutoShape 271"/>
        <xdr:cNvSpPr>
          <a:spLocks/>
        </xdr:cNvSpPr>
      </xdr:nvSpPr>
      <xdr:spPr>
        <a:xfrm flipV="1">
          <a:off x="4648200" y="342900"/>
          <a:ext cx="161925" cy="228600"/>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92</xdr:col>
      <xdr:colOff>57150</xdr:colOff>
      <xdr:row>73</xdr:row>
      <xdr:rowOff>0</xdr:rowOff>
    </xdr:from>
    <xdr:to>
      <xdr:col>93</xdr:col>
      <xdr:colOff>76200</xdr:colOff>
      <xdr:row>74</xdr:row>
      <xdr:rowOff>19050</xdr:rowOff>
    </xdr:to>
    <xdr:sp>
      <xdr:nvSpPr>
        <xdr:cNvPr id="1" name="AutoShape 1"/>
        <xdr:cNvSpPr>
          <a:spLocks/>
        </xdr:cNvSpPr>
      </xdr:nvSpPr>
      <xdr:spPr>
        <a:xfrm flipV="1">
          <a:off x="12239625" y="8258175"/>
          <a:ext cx="161925" cy="161925"/>
        </a:xfrm>
        <a:prstGeom prst="triangle">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18</xdr:row>
      <xdr:rowOff>133350</xdr:rowOff>
    </xdr:from>
    <xdr:to>
      <xdr:col>32</xdr:col>
      <xdr:colOff>19050</xdr:colOff>
      <xdr:row>21</xdr:row>
      <xdr:rowOff>9525</xdr:rowOff>
    </xdr:to>
    <xdr:sp>
      <xdr:nvSpPr>
        <xdr:cNvPr id="2" name="AutoShape 2"/>
        <xdr:cNvSpPr>
          <a:spLocks/>
        </xdr:cNvSpPr>
      </xdr:nvSpPr>
      <xdr:spPr>
        <a:xfrm flipV="1">
          <a:off x="5476875" y="2390775"/>
          <a:ext cx="95250" cy="20002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41</xdr:row>
      <xdr:rowOff>0</xdr:rowOff>
    </xdr:from>
    <xdr:to>
      <xdr:col>32</xdr:col>
      <xdr:colOff>28575</xdr:colOff>
      <xdr:row>43</xdr:row>
      <xdr:rowOff>19050</xdr:rowOff>
    </xdr:to>
    <xdr:sp>
      <xdr:nvSpPr>
        <xdr:cNvPr id="3" name="AutoShape 3"/>
        <xdr:cNvSpPr>
          <a:spLocks/>
        </xdr:cNvSpPr>
      </xdr:nvSpPr>
      <xdr:spPr>
        <a:xfrm flipV="1">
          <a:off x="5486400" y="4486275"/>
          <a:ext cx="95250" cy="20955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11</xdr:row>
      <xdr:rowOff>9525</xdr:rowOff>
    </xdr:from>
    <xdr:to>
      <xdr:col>5</xdr:col>
      <xdr:colOff>19050</xdr:colOff>
      <xdr:row>12</xdr:row>
      <xdr:rowOff>47625</xdr:rowOff>
    </xdr:to>
    <xdr:sp>
      <xdr:nvSpPr>
        <xdr:cNvPr id="4" name="AutoShape 4"/>
        <xdr:cNvSpPr>
          <a:spLocks/>
        </xdr:cNvSpPr>
      </xdr:nvSpPr>
      <xdr:spPr>
        <a:xfrm flipV="1">
          <a:off x="3429000" y="1133475"/>
          <a:ext cx="85725" cy="228600"/>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76200</xdr:colOff>
      <xdr:row>10</xdr:row>
      <xdr:rowOff>133350</xdr:rowOff>
    </xdr:from>
    <xdr:to>
      <xdr:col>25</xdr:col>
      <xdr:colOff>9525</xdr:colOff>
      <xdr:row>12</xdr:row>
      <xdr:rowOff>28575</xdr:rowOff>
    </xdr:to>
    <xdr:sp>
      <xdr:nvSpPr>
        <xdr:cNvPr id="5" name="AutoShape 5"/>
        <xdr:cNvSpPr>
          <a:spLocks/>
        </xdr:cNvSpPr>
      </xdr:nvSpPr>
      <xdr:spPr>
        <a:xfrm flipV="1">
          <a:off x="4943475" y="1085850"/>
          <a:ext cx="85725" cy="2571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sz="4800" b="0" i="0" u="none" baseline="0">
              <a:latin typeface="Arial"/>
              <a:ea typeface="Arial"/>
              <a:cs typeface="Arial"/>
            </a:rPr>
            <a:t>1</a:t>
          </a:r>
        </a:p>
      </xdr:txBody>
    </xdr:sp>
    <xdr:clientData/>
  </xdr:twoCellAnchor>
  <xdr:twoCellAnchor>
    <xdr:from>
      <xdr:col>30</xdr:col>
      <xdr:colOff>76200</xdr:colOff>
      <xdr:row>12</xdr:row>
      <xdr:rowOff>0</xdr:rowOff>
    </xdr:from>
    <xdr:to>
      <xdr:col>32</xdr:col>
      <xdr:colOff>9525</xdr:colOff>
      <xdr:row>13</xdr:row>
      <xdr:rowOff>38100</xdr:rowOff>
    </xdr:to>
    <xdr:sp>
      <xdr:nvSpPr>
        <xdr:cNvPr id="6" name="AutoShape 8"/>
        <xdr:cNvSpPr>
          <a:spLocks/>
        </xdr:cNvSpPr>
      </xdr:nvSpPr>
      <xdr:spPr>
        <a:xfrm flipV="1">
          <a:off x="5476875" y="1314450"/>
          <a:ext cx="85725" cy="228600"/>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xdr:row>
      <xdr:rowOff>0</xdr:rowOff>
    </xdr:from>
    <xdr:to>
      <xdr:col>4</xdr:col>
      <xdr:colOff>28575</xdr:colOff>
      <xdr:row>11</xdr:row>
      <xdr:rowOff>38100</xdr:rowOff>
    </xdr:to>
    <xdr:sp>
      <xdr:nvSpPr>
        <xdr:cNvPr id="7" name="AutoShape 11"/>
        <xdr:cNvSpPr>
          <a:spLocks/>
        </xdr:cNvSpPr>
      </xdr:nvSpPr>
      <xdr:spPr>
        <a:xfrm flipV="1">
          <a:off x="3362325" y="952500"/>
          <a:ext cx="85725" cy="209550"/>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10</xdr:row>
      <xdr:rowOff>123825</xdr:rowOff>
    </xdr:from>
    <xdr:to>
      <xdr:col>21</xdr:col>
      <xdr:colOff>28575</xdr:colOff>
      <xdr:row>12</xdr:row>
      <xdr:rowOff>19050</xdr:rowOff>
    </xdr:to>
    <xdr:sp>
      <xdr:nvSpPr>
        <xdr:cNvPr id="8" name="AutoShape 12"/>
        <xdr:cNvSpPr>
          <a:spLocks/>
        </xdr:cNvSpPr>
      </xdr:nvSpPr>
      <xdr:spPr>
        <a:xfrm flipV="1">
          <a:off x="4648200" y="1076325"/>
          <a:ext cx="95250" cy="2571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28575</xdr:colOff>
      <xdr:row>14</xdr:row>
      <xdr:rowOff>9525</xdr:rowOff>
    </xdr:from>
    <xdr:to>
      <xdr:col>28</xdr:col>
      <xdr:colOff>47625</xdr:colOff>
      <xdr:row>15</xdr:row>
      <xdr:rowOff>0</xdr:rowOff>
    </xdr:to>
    <xdr:sp>
      <xdr:nvSpPr>
        <xdr:cNvPr id="9" name="AutoShape 13"/>
        <xdr:cNvSpPr>
          <a:spLocks/>
        </xdr:cNvSpPr>
      </xdr:nvSpPr>
      <xdr:spPr>
        <a:xfrm flipV="1">
          <a:off x="5200650" y="1704975"/>
          <a:ext cx="95250"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12</xdr:row>
      <xdr:rowOff>0</xdr:rowOff>
    </xdr:from>
    <xdr:to>
      <xdr:col>22</xdr:col>
      <xdr:colOff>9525</xdr:colOff>
      <xdr:row>13</xdr:row>
      <xdr:rowOff>38100</xdr:rowOff>
    </xdr:to>
    <xdr:sp>
      <xdr:nvSpPr>
        <xdr:cNvPr id="10" name="AutoShape 19"/>
        <xdr:cNvSpPr>
          <a:spLocks/>
        </xdr:cNvSpPr>
      </xdr:nvSpPr>
      <xdr:spPr>
        <a:xfrm flipV="1">
          <a:off x="4714875" y="1314450"/>
          <a:ext cx="85725" cy="228600"/>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82</xdr:col>
      <xdr:colOff>28575</xdr:colOff>
      <xdr:row>65</xdr:row>
      <xdr:rowOff>0</xdr:rowOff>
    </xdr:from>
    <xdr:to>
      <xdr:col>83</xdr:col>
      <xdr:colOff>47625</xdr:colOff>
      <xdr:row>66</xdr:row>
      <xdr:rowOff>19050</xdr:rowOff>
    </xdr:to>
    <xdr:sp>
      <xdr:nvSpPr>
        <xdr:cNvPr id="11" name="AutoShape 20"/>
        <xdr:cNvSpPr>
          <a:spLocks/>
        </xdr:cNvSpPr>
      </xdr:nvSpPr>
      <xdr:spPr>
        <a:xfrm flipV="1">
          <a:off x="10782300" y="7486650"/>
          <a:ext cx="161925" cy="161925"/>
        </a:xfrm>
        <a:prstGeom prst="triangle">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76200</xdr:colOff>
      <xdr:row>45</xdr:row>
      <xdr:rowOff>0</xdr:rowOff>
    </xdr:from>
    <xdr:to>
      <xdr:col>39</xdr:col>
      <xdr:colOff>76200</xdr:colOff>
      <xdr:row>45</xdr:row>
      <xdr:rowOff>161925</xdr:rowOff>
    </xdr:to>
    <xdr:sp>
      <xdr:nvSpPr>
        <xdr:cNvPr id="12" name="Line 21"/>
        <xdr:cNvSpPr>
          <a:spLocks/>
        </xdr:cNvSpPr>
      </xdr:nvSpPr>
      <xdr:spPr>
        <a:xfrm flipH="1">
          <a:off x="6162675" y="48672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72</xdr:col>
      <xdr:colOff>9525</xdr:colOff>
      <xdr:row>33</xdr:row>
      <xdr:rowOff>114300</xdr:rowOff>
    </xdr:from>
    <xdr:to>
      <xdr:col>72</xdr:col>
      <xdr:colOff>19050</xdr:colOff>
      <xdr:row>50</xdr:row>
      <xdr:rowOff>123825</xdr:rowOff>
    </xdr:to>
    <xdr:sp>
      <xdr:nvSpPr>
        <xdr:cNvPr id="13" name="Line 29"/>
        <xdr:cNvSpPr>
          <a:spLocks/>
        </xdr:cNvSpPr>
      </xdr:nvSpPr>
      <xdr:spPr>
        <a:xfrm>
          <a:off x="9334500" y="3895725"/>
          <a:ext cx="9525" cy="1885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91</xdr:col>
      <xdr:colOff>9525</xdr:colOff>
      <xdr:row>54</xdr:row>
      <xdr:rowOff>19050</xdr:rowOff>
    </xdr:from>
    <xdr:to>
      <xdr:col>91</xdr:col>
      <xdr:colOff>9525</xdr:colOff>
      <xdr:row>58</xdr:row>
      <xdr:rowOff>95250</xdr:rowOff>
    </xdr:to>
    <xdr:sp>
      <xdr:nvSpPr>
        <xdr:cNvPr id="14" name="Line 30"/>
        <xdr:cNvSpPr>
          <a:spLocks/>
        </xdr:cNvSpPr>
      </xdr:nvSpPr>
      <xdr:spPr>
        <a:xfrm>
          <a:off x="12049125" y="6257925"/>
          <a:ext cx="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97</xdr:col>
      <xdr:colOff>0</xdr:colOff>
      <xdr:row>60</xdr:row>
      <xdr:rowOff>38100</xdr:rowOff>
    </xdr:from>
    <xdr:to>
      <xdr:col>97</xdr:col>
      <xdr:colOff>0</xdr:colOff>
      <xdr:row>63</xdr:row>
      <xdr:rowOff>0</xdr:rowOff>
    </xdr:to>
    <xdr:sp>
      <xdr:nvSpPr>
        <xdr:cNvPr id="15" name="Line 31"/>
        <xdr:cNvSpPr>
          <a:spLocks/>
        </xdr:cNvSpPr>
      </xdr:nvSpPr>
      <xdr:spPr>
        <a:xfrm>
          <a:off x="12896850" y="70580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89</xdr:col>
      <xdr:colOff>0</xdr:colOff>
      <xdr:row>51</xdr:row>
      <xdr:rowOff>95250</xdr:rowOff>
    </xdr:from>
    <xdr:to>
      <xdr:col>89</xdr:col>
      <xdr:colOff>0</xdr:colOff>
      <xdr:row>53</xdr:row>
      <xdr:rowOff>9525</xdr:rowOff>
    </xdr:to>
    <xdr:sp>
      <xdr:nvSpPr>
        <xdr:cNvPr id="16" name="Line 32"/>
        <xdr:cNvSpPr>
          <a:spLocks/>
        </xdr:cNvSpPr>
      </xdr:nvSpPr>
      <xdr:spPr>
        <a:xfrm>
          <a:off x="11753850" y="588645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29</xdr:row>
      <xdr:rowOff>0</xdr:rowOff>
    </xdr:from>
    <xdr:to>
      <xdr:col>39</xdr:col>
      <xdr:colOff>57150</xdr:colOff>
      <xdr:row>30</xdr:row>
      <xdr:rowOff>0</xdr:rowOff>
    </xdr:to>
    <xdr:sp>
      <xdr:nvSpPr>
        <xdr:cNvPr id="17" name="Rectangle 35"/>
        <xdr:cNvSpPr>
          <a:spLocks/>
        </xdr:cNvSpPr>
      </xdr:nvSpPr>
      <xdr:spPr>
        <a:xfrm>
          <a:off x="6010275" y="3267075"/>
          <a:ext cx="13335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31</xdr:row>
      <xdr:rowOff>0</xdr:rowOff>
    </xdr:from>
    <xdr:to>
      <xdr:col>39</xdr:col>
      <xdr:colOff>57150</xdr:colOff>
      <xdr:row>32</xdr:row>
      <xdr:rowOff>0</xdr:rowOff>
    </xdr:to>
    <xdr:sp>
      <xdr:nvSpPr>
        <xdr:cNvPr id="18" name="Rectangle 36"/>
        <xdr:cNvSpPr>
          <a:spLocks/>
        </xdr:cNvSpPr>
      </xdr:nvSpPr>
      <xdr:spPr>
        <a:xfrm>
          <a:off x="6010275" y="3571875"/>
          <a:ext cx="13335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76200</xdr:colOff>
      <xdr:row>35</xdr:row>
      <xdr:rowOff>0</xdr:rowOff>
    </xdr:from>
    <xdr:to>
      <xdr:col>41</xdr:col>
      <xdr:colOff>47625</xdr:colOff>
      <xdr:row>36</xdr:row>
      <xdr:rowOff>0</xdr:rowOff>
    </xdr:to>
    <xdr:sp>
      <xdr:nvSpPr>
        <xdr:cNvPr id="19" name="Rectangle 47"/>
        <xdr:cNvSpPr>
          <a:spLocks/>
        </xdr:cNvSpPr>
      </xdr:nvSpPr>
      <xdr:spPr>
        <a:xfrm>
          <a:off x="6238875" y="4010025"/>
          <a:ext cx="47625"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44</xdr:row>
      <xdr:rowOff>0</xdr:rowOff>
    </xdr:from>
    <xdr:to>
      <xdr:col>42</xdr:col>
      <xdr:colOff>0</xdr:colOff>
      <xdr:row>45</xdr:row>
      <xdr:rowOff>9525</xdr:rowOff>
    </xdr:to>
    <xdr:sp>
      <xdr:nvSpPr>
        <xdr:cNvPr id="20" name="Line 62"/>
        <xdr:cNvSpPr>
          <a:spLocks/>
        </xdr:cNvSpPr>
      </xdr:nvSpPr>
      <xdr:spPr>
        <a:xfrm>
          <a:off x="6315075" y="4724400"/>
          <a:ext cx="0" cy="152400"/>
        </a:xfrm>
        <a:prstGeom prst="line">
          <a:avLst/>
        </a:prstGeom>
        <a:noFill/>
        <a:ln w="1143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154</xdr:col>
      <xdr:colOff>104775</xdr:colOff>
      <xdr:row>114</xdr:row>
      <xdr:rowOff>85725</xdr:rowOff>
    </xdr:from>
    <xdr:to>
      <xdr:col>155</xdr:col>
      <xdr:colOff>95250</xdr:colOff>
      <xdr:row>114</xdr:row>
      <xdr:rowOff>85725</xdr:rowOff>
    </xdr:to>
    <xdr:sp>
      <xdr:nvSpPr>
        <xdr:cNvPr id="21" name="Line 87"/>
        <xdr:cNvSpPr>
          <a:spLocks/>
        </xdr:cNvSpPr>
      </xdr:nvSpPr>
      <xdr:spPr>
        <a:xfrm flipV="1">
          <a:off x="21478875" y="15401925"/>
          <a:ext cx="14287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154</xdr:col>
      <xdr:colOff>104775</xdr:colOff>
      <xdr:row>114</xdr:row>
      <xdr:rowOff>85725</xdr:rowOff>
    </xdr:from>
    <xdr:to>
      <xdr:col>155</xdr:col>
      <xdr:colOff>95250</xdr:colOff>
      <xdr:row>114</xdr:row>
      <xdr:rowOff>85725</xdr:rowOff>
    </xdr:to>
    <xdr:sp>
      <xdr:nvSpPr>
        <xdr:cNvPr id="22" name="Line 88"/>
        <xdr:cNvSpPr>
          <a:spLocks/>
        </xdr:cNvSpPr>
      </xdr:nvSpPr>
      <xdr:spPr>
        <a:xfrm flipV="1">
          <a:off x="21478875" y="15401925"/>
          <a:ext cx="14287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67</xdr:col>
      <xdr:colOff>123825</xdr:colOff>
      <xdr:row>5</xdr:row>
      <xdr:rowOff>28575</xdr:rowOff>
    </xdr:from>
    <xdr:to>
      <xdr:col>68</xdr:col>
      <xdr:colOff>0</xdr:colOff>
      <xdr:row>75</xdr:row>
      <xdr:rowOff>38100</xdr:rowOff>
    </xdr:to>
    <xdr:sp>
      <xdr:nvSpPr>
        <xdr:cNvPr id="23" name="Line 95"/>
        <xdr:cNvSpPr>
          <a:spLocks/>
        </xdr:cNvSpPr>
      </xdr:nvSpPr>
      <xdr:spPr>
        <a:xfrm flipH="1">
          <a:off x="8734425" y="590550"/>
          <a:ext cx="19050" cy="7896225"/>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142875</xdr:colOff>
      <xdr:row>46</xdr:row>
      <xdr:rowOff>0</xdr:rowOff>
    </xdr:from>
    <xdr:to>
      <xdr:col>60</xdr:col>
      <xdr:colOff>57150</xdr:colOff>
      <xdr:row>47</xdr:row>
      <xdr:rowOff>0</xdr:rowOff>
    </xdr:to>
    <xdr:sp>
      <xdr:nvSpPr>
        <xdr:cNvPr id="24" name="Rectangle 104"/>
        <xdr:cNvSpPr>
          <a:spLocks/>
        </xdr:cNvSpPr>
      </xdr:nvSpPr>
      <xdr:spPr>
        <a:xfrm>
          <a:off x="7467600" y="5038725"/>
          <a:ext cx="7620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9525</xdr:colOff>
      <xdr:row>30</xdr:row>
      <xdr:rowOff>123825</xdr:rowOff>
    </xdr:from>
    <xdr:to>
      <xdr:col>64</xdr:col>
      <xdr:colOff>9525</xdr:colOff>
      <xdr:row>30</xdr:row>
      <xdr:rowOff>123825</xdr:rowOff>
    </xdr:to>
    <xdr:sp>
      <xdr:nvSpPr>
        <xdr:cNvPr id="25" name="Line 105"/>
        <xdr:cNvSpPr>
          <a:spLocks/>
        </xdr:cNvSpPr>
      </xdr:nvSpPr>
      <xdr:spPr>
        <a:xfrm>
          <a:off x="4876800" y="3533775"/>
          <a:ext cx="3267075"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35</xdr:row>
      <xdr:rowOff>0</xdr:rowOff>
    </xdr:from>
    <xdr:to>
      <xdr:col>65</xdr:col>
      <xdr:colOff>0</xdr:colOff>
      <xdr:row>35</xdr:row>
      <xdr:rowOff>9525</xdr:rowOff>
    </xdr:to>
    <xdr:sp>
      <xdr:nvSpPr>
        <xdr:cNvPr id="26" name="Line 106"/>
        <xdr:cNvSpPr>
          <a:spLocks/>
        </xdr:cNvSpPr>
      </xdr:nvSpPr>
      <xdr:spPr>
        <a:xfrm flipV="1">
          <a:off x="6162675" y="4010025"/>
          <a:ext cx="2133600" cy="9525"/>
        </a:xfrm>
        <a:prstGeom prst="line">
          <a:avLst/>
        </a:prstGeom>
        <a:noFill/>
        <a:ln w="571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28575</xdr:colOff>
      <xdr:row>32</xdr:row>
      <xdr:rowOff>66675</xdr:rowOff>
    </xdr:from>
    <xdr:to>
      <xdr:col>66</xdr:col>
      <xdr:colOff>0</xdr:colOff>
      <xdr:row>32</xdr:row>
      <xdr:rowOff>66675</xdr:rowOff>
    </xdr:to>
    <xdr:sp>
      <xdr:nvSpPr>
        <xdr:cNvPr id="27" name="Line 107"/>
        <xdr:cNvSpPr>
          <a:spLocks/>
        </xdr:cNvSpPr>
      </xdr:nvSpPr>
      <xdr:spPr>
        <a:xfrm flipV="1">
          <a:off x="6667500" y="3781425"/>
          <a:ext cx="1790700"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103</xdr:col>
      <xdr:colOff>57150</xdr:colOff>
      <xdr:row>64</xdr:row>
      <xdr:rowOff>28575</xdr:rowOff>
    </xdr:from>
    <xdr:to>
      <xdr:col>104</xdr:col>
      <xdr:colOff>76200</xdr:colOff>
      <xdr:row>66</xdr:row>
      <xdr:rowOff>0</xdr:rowOff>
    </xdr:to>
    <xdr:sp>
      <xdr:nvSpPr>
        <xdr:cNvPr id="28" name="AutoShape 111"/>
        <xdr:cNvSpPr>
          <a:spLocks/>
        </xdr:cNvSpPr>
      </xdr:nvSpPr>
      <xdr:spPr>
        <a:xfrm flipV="1">
          <a:off x="13811250" y="7467600"/>
          <a:ext cx="161925" cy="161925"/>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28575</xdr:colOff>
      <xdr:row>73</xdr:row>
      <xdr:rowOff>9525</xdr:rowOff>
    </xdr:from>
    <xdr:to>
      <xdr:col>122</xdr:col>
      <xdr:colOff>38100</xdr:colOff>
      <xdr:row>74</xdr:row>
      <xdr:rowOff>28575</xdr:rowOff>
    </xdr:to>
    <xdr:sp>
      <xdr:nvSpPr>
        <xdr:cNvPr id="29" name="AutoShape 114"/>
        <xdr:cNvSpPr>
          <a:spLocks/>
        </xdr:cNvSpPr>
      </xdr:nvSpPr>
      <xdr:spPr>
        <a:xfrm flipV="1">
          <a:off x="16373475" y="8267700"/>
          <a:ext cx="161925" cy="161925"/>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111</xdr:col>
      <xdr:colOff>28575</xdr:colOff>
      <xdr:row>71</xdr:row>
      <xdr:rowOff>47625</xdr:rowOff>
    </xdr:from>
    <xdr:to>
      <xdr:col>121</xdr:col>
      <xdr:colOff>114300</xdr:colOff>
      <xdr:row>72</xdr:row>
      <xdr:rowOff>38100</xdr:rowOff>
    </xdr:to>
    <xdr:sp>
      <xdr:nvSpPr>
        <xdr:cNvPr id="30" name="Polygon 118"/>
        <xdr:cNvSpPr>
          <a:spLocks/>
        </xdr:cNvSpPr>
      </xdr:nvSpPr>
      <xdr:spPr>
        <a:xfrm>
          <a:off x="14925675" y="8115300"/>
          <a:ext cx="1533525" cy="133350"/>
        </a:xfrm>
        <a:custGeom>
          <a:pathLst>
            <a:path h="10" w="51">
              <a:moveTo>
                <a:pt x="0" y="0"/>
              </a:moveTo>
              <a:lnTo>
                <a:pt x="51" y="0"/>
              </a:lnTo>
              <a:lnTo>
                <a:pt x="50" y="10"/>
              </a:lnTo>
            </a:path>
          </a:pathLst>
        </a:cu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110</xdr:col>
      <xdr:colOff>0</xdr:colOff>
      <xdr:row>69</xdr:row>
      <xdr:rowOff>38100</xdr:rowOff>
    </xdr:from>
    <xdr:ext cx="1314450" cy="209550"/>
    <xdr:sp>
      <xdr:nvSpPr>
        <xdr:cNvPr id="31" name="TextBox 119"/>
        <xdr:cNvSpPr txBox="1">
          <a:spLocks noChangeArrowheads="1"/>
        </xdr:cNvSpPr>
      </xdr:nvSpPr>
      <xdr:spPr>
        <a:xfrm>
          <a:off x="14754225" y="7905750"/>
          <a:ext cx="1314450" cy="209550"/>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Total Float 11 mo.</a:t>
          </a:r>
        </a:p>
      </xdr:txBody>
    </xdr:sp>
    <xdr:clientData/>
  </xdr:oneCellAnchor>
  <xdr:twoCellAnchor>
    <xdr:from>
      <xdr:col>43</xdr:col>
      <xdr:colOff>76200</xdr:colOff>
      <xdr:row>46</xdr:row>
      <xdr:rowOff>0</xdr:rowOff>
    </xdr:from>
    <xdr:to>
      <xdr:col>74</xdr:col>
      <xdr:colOff>123825</xdr:colOff>
      <xdr:row>46</xdr:row>
      <xdr:rowOff>19050</xdr:rowOff>
    </xdr:to>
    <xdr:sp>
      <xdr:nvSpPr>
        <xdr:cNvPr id="32" name="Line 121"/>
        <xdr:cNvSpPr>
          <a:spLocks/>
        </xdr:cNvSpPr>
      </xdr:nvSpPr>
      <xdr:spPr>
        <a:xfrm flipV="1">
          <a:off x="6467475" y="5038725"/>
          <a:ext cx="3267075" cy="1905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67</xdr:col>
      <xdr:colOff>47625</xdr:colOff>
      <xdr:row>52</xdr:row>
      <xdr:rowOff>95250</xdr:rowOff>
    </xdr:from>
    <xdr:to>
      <xdr:col>78</xdr:col>
      <xdr:colOff>0</xdr:colOff>
      <xdr:row>52</xdr:row>
      <xdr:rowOff>95250</xdr:rowOff>
    </xdr:to>
    <xdr:sp>
      <xdr:nvSpPr>
        <xdr:cNvPr id="33" name="Line 122"/>
        <xdr:cNvSpPr>
          <a:spLocks/>
        </xdr:cNvSpPr>
      </xdr:nvSpPr>
      <xdr:spPr>
        <a:xfrm flipV="1">
          <a:off x="8658225" y="6029325"/>
          <a:ext cx="1524000"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152400</xdr:colOff>
      <xdr:row>50</xdr:row>
      <xdr:rowOff>104775</xdr:rowOff>
    </xdr:from>
    <xdr:to>
      <xdr:col>76</xdr:col>
      <xdr:colOff>0</xdr:colOff>
      <xdr:row>50</xdr:row>
      <xdr:rowOff>104775</xdr:rowOff>
    </xdr:to>
    <xdr:sp>
      <xdr:nvSpPr>
        <xdr:cNvPr id="34" name="Line 123"/>
        <xdr:cNvSpPr>
          <a:spLocks/>
        </xdr:cNvSpPr>
      </xdr:nvSpPr>
      <xdr:spPr>
        <a:xfrm flipV="1">
          <a:off x="8286750" y="5762625"/>
          <a:ext cx="1609725"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19050</xdr:colOff>
      <xdr:row>48</xdr:row>
      <xdr:rowOff>47625</xdr:rowOff>
    </xdr:from>
    <xdr:to>
      <xdr:col>74</xdr:col>
      <xdr:colOff>142875</xdr:colOff>
      <xdr:row>48</xdr:row>
      <xdr:rowOff>47625</xdr:rowOff>
    </xdr:to>
    <xdr:sp>
      <xdr:nvSpPr>
        <xdr:cNvPr id="35" name="Line 124"/>
        <xdr:cNvSpPr>
          <a:spLocks/>
        </xdr:cNvSpPr>
      </xdr:nvSpPr>
      <xdr:spPr>
        <a:xfrm flipV="1">
          <a:off x="7172325" y="5486400"/>
          <a:ext cx="2581275"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9525</xdr:colOff>
      <xdr:row>54</xdr:row>
      <xdr:rowOff>114300</xdr:rowOff>
    </xdr:from>
    <xdr:to>
      <xdr:col>77</xdr:col>
      <xdr:colOff>142875</xdr:colOff>
      <xdr:row>54</xdr:row>
      <xdr:rowOff>114300</xdr:rowOff>
    </xdr:to>
    <xdr:sp>
      <xdr:nvSpPr>
        <xdr:cNvPr id="36" name="Line 125"/>
        <xdr:cNvSpPr>
          <a:spLocks/>
        </xdr:cNvSpPr>
      </xdr:nvSpPr>
      <xdr:spPr>
        <a:xfrm flipV="1">
          <a:off x="9048750" y="6353175"/>
          <a:ext cx="1133475"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74</xdr:col>
      <xdr:colOff>142875</xdr:colOff>
      <xdr:row>56</xdr:row>
      <xdr:rowOff>95250</xdr:rowOff>
    </xdr:from>
    <xdr:to>
      <xdr:col>80</xdr:col>
      <xdr:colOff>19050</xdr:colOff>
      <xdr:row>56</xdr:row>
      <xdr:rowOff>95250</xdr:rowOff>
    </xdr:to>
    <xdr:sp>
      <xdr:nvSpPr>
        <xdr:cNvPr id="37" name="Line 126"/>
        <xdr:cNvSpPr>
          <a:spLocks/>
        </xdr:cNvSpPr>
      </xdr:nvSpPr>
      <xdr:spPr>
        <a:xfrm flipV="1">
          <a:off x="9753600" y="6619875"/>
          <a:ext cx="733425"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77</xdr:col>
      <xdr:colOff>95250</xdr:colOff>
      <xdr:row>58</xdr:row>
      <xdr:rowOff>95250</xdr:rowOff>
    </xdr:from>
    <xdr:to>
      <xdr:col>82</xdr:col>
      <xdr:colOff>66675</xdr:colOff>
      <xdr:row>58</xdr:row>
      <xdr:rowOff>95250</xdr:rowOff>
    </xdr:to>
    <xdr:sp>
      <xdr:nvSpPr>
        <xdr:cNvPr id="38" name="Line 127"/>
        <xdr:cNvSpPr>
          <a:spLocks/>
        </xdr:cNvSpPr>
      </xdr:nvSpPr>
      <xdr:spPr>
        <a:xfrm>
          <a:off x="10134600" y="6867525"/>
          <a:ext cx="685800" cy="0"/>
        </a:xfrm>
        <a:prstGeom prst="line">
          <a:avLst/>
        </a:prstGeom>
        <a:noFill/>
        <a:ln w="698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78</xdr:col>
      <xdr:colOff>9525</xdr:colOff>
      <xdr:row>60</xdr:row>
      <xdr:rowOff>38100</xdr:rowOff>
    </xdr:from>
    <xdr:to>
      <xdr:col>79</xdr:col>
      <xdr:colOff>123825</xdr:colOff>
      <xdr:row>60</xdr:row>
      <xdr:rowOff>38100</xdr:rowOff>
    </xdr:to>
    <xdr:sp>
      <xdr:nvSpPr>
        <xdr:cNvPr id="39" name="Line 128"/>
        <xdr:cNvSpPr>
          <a:spLocks/>
        </xdr:cNvSpPr>
      </xdr:nvSpPr>
      <xdr:spPr>
        <a:xfrm>
          <a:off x="10191750" y="7058025"/>
          <a:ext cx="257175"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80</xdr:col>
      <xdr:colOff>0</xdr:colOff>
      <xdr:row>62</xdr:row>
      <xdr:rowOff>38100</xdr:rowOff>
    </xdr:from>
    <xdr:to>
      <xdr:col>83</xdr:col>
      <xdr:colOff>0</xdr:colOff>
      <xdr:row>62</xdr:row>
      <xdr:rowOff>38100</xdr:rowOff>
    </xdr:to>
    <xdr:sp>
      <xdr:nvSpPr>
        <xdr:cNvPr id="40" name="Line 129"/>
        <xdr:cNvSpPr>
          <a:spLocks/>
        </xdr:cNvSpPr>
      </xdr:nvSpPr>
      <xdr:spPr>
        <a:xfrm>
          <a:off x="10467975" y="7286625"/>
          <a:ext cx="428625"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84</xdr:col>
      <xdr:colOff>9525</xdr:colOff>
      <xdr:row>69</xdr:row>
      <xdr:rowOff>38100</xdr:rowOff>
    </xdr:from>
    <xdr:to>
      <xdr:col>86</xdr:col>
      <xdr:colOff>9525</xdr:colOff>
      <xdr:row>69</xdr:row>
      <xdr:rowOff>38100</xdr:rowOff>
    </xdr:to>
    <xdr:sp>
      <xdr:nvSpPr>
        <xdr:cNvPr id="41" name="Line 130"/>
        <xdr:cNvSpPr>
          <a:spLocks/>
        </xdr:cNvSpPr>
      </xdr:nvSpPr>
      <xdr:spPr>
        <a:xfrm>
          <a:off x="11049000" y="7905750"/>
          <a:ext cx="285750" cy="0"/>
        </a:xfrm>
        <a:prstGeom prst="line">
          <a:avLst/>
        </a:prstGeom>
        <a:noFill/>
        <a:ln w="571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81</xdr:col>
      <xdr:colOff>9525</xdr:colOff>
      <xdr:row>65</xdr:row>
      <xdr:rowOff>38100</xdr:rowOff>
    </xdr:from>
    <xdr:to>
      <xdr:col>82</xdr:col>
      <xdr:colOff>123825</xdr:colOff>
      <xdr:row>65</xdr:row>
      <xdr:rowOff>38100</xdr:rowOff>
    </xdr:to>
    <xdr:sp>
      <xdr:nvSpPr>
        <xdr:cNvPr id="42" name="Line 131"/>
        <xdr:cNvSpPr>
          <a:spLocks/>
        </xdr:cNvSpPr>
      </xdr:nvSpPr>
      <xdr:spPr>
        <a:xfrm>
          <a:off x="10620375" y="7524750"/>
          <a:ext cx="257175" cy="0"/>
        </a:xfrm>
        <a:prstGeom prst="line">
          <a:avLst/>
        </a:prstGeom>
        <a:noFill/>
        <a:ln w="571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83</xdr:col>
      <xdr:colOff>0</xdr:colOff>
      <xdr:row>67</xdr:row>
      <xdr:rowOff>0</xdr:rowOff>
    </xdr:from>
    <xdr:to>
      <xdr:col>83</xdr:col>
      <xdr:colOff>123825</xdr:colOff>
      <xdr:row>67</xdr:row>
      <xdr:rowOff>0</xdr:rowOff>
    </xdr:to>
    <xdr:sp>
      <xdr:nvSpPr>
        <xdr:cNvPr id="43" name="Line 132"/>
        <xdr:cNvSpPr>
          <a:spLocks/>
        </xdr:cNvSpPr>
      </xdr:nvSpPr>
      <xdr:spPr>
        <a:xfrm>
          <a:off x="10896600" y="7677150"/>
          <a:ext cx="123825" cy="0"/>
        </a:xfrm>
        <a:prstGeom prst="line">
          <a:avLst/>
        </a:prstGeom>
        <a:noFill/>
        <a:ln w="571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9525</xdr:colOff>
      <xdr:row>70</xdr:row>
      <xdr:rowOff>38100</xdr:rowOff>
    </xdr:from>
    <xdr:to>
      <xdr:col>88</xdr:col>
      <xdr:colOff>9525</xdr:colOff>
      <xdr:row>70</xdr:row>
      <xdr:rowOff>38100</xdr:rowOff>
    </xdr:to>
    <xdr:sp>
      <xdr:nvSpPr>
        <xdr:cNvPr id="44" name="Line 133"/>
        <xdr:cNvSpPr>
          <a:spLocks/>
        </xdr:cNvSpPr>
      </xdr:nvSpPr>
      <xdr:spPr>
        <a:xfrm>
          <a:off x="11334750" y="8048625"/>
          <a:ext cx="285750" cy="0"/>
        </a:xfrm>
        <a:prstGeom prst="line">
          <a:avLst/>
        </a:prstGeom>
        <a:noFill/>
        <a:ln w="571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73</xdr:row>
      <xdr:rowOff>76200</xdr:rowOff>
    </xdr:from>
    <xdr:to>
      <xdr:col>13</xdr:col>
      <xdr:colOff>47625</xdr:colOff>
      <xdr:row>73</xdr:row>
      <xdr:rowOff>76200</xdr:rowOff>
    </xdr:to>
    <xdr:sp>
      <xdr:nvSpPr>
        <xdr:cNvPr id="45" name="Line 135"/>
        <xdr:cNvSpPr>
          <a:spLocks/>
        </xdr:cNvSpPr>
      </xdr:nvSpPr>
      <xdr:spPr>
        <a:xfrm>
          <a:off x="3800475" y="8334375"/>
          <a:ext cx="352425" cy="0"/>
        </a:xfrm>
        <a:prstGeom prst="line">
          <a:avLst/>
        </a:prstGeom>
        <a:noFill/>
        <a:ln w="603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82</xdr:col>
      <xdr:colOff>0</xdr:colOff>
      <xdr:row>46</xdr:row>
      <xdr:rowOff>85725</xdr:rowOff>
    </xdr:from>
    <xdr:to>
      <xdr:col>84</xdr:col>
      <xdr:colOff>9525</xdr:colOff>
      <xdr:row>50</xdr:row>
      <xdr:rowOff>104775</xdr:rowOff>
    </xdr:to>
    <xdr:sp>
      <xdr:nvSpPr>
        <xdr:cNvPr id="46" name="Polygon 136"/>
        <xdr:cNvSpPr>
          <a:spLocks/>
        </xdr:cNvSpPr>
      </xdr:nvSpPr>
      <xdr:spPr>
        <a:xfrm>
          <a:off x="10753725" y="5124450"/>
          <a:ext cx="295275" cy="638175"/>
        </a:xfrm>
        <a:custGeom>
          <a:pathLst>
            <a:path h="101" w="30">
              <a:moveTo>
                <a:pt x="0" y="0"/>
              </a:moveTo>
              <a:lnTo>
                <a:pt x="30" y="0"/>
              </a:lnTo>
              <a:lnTo>
                <a:pt x="30" y="10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rstrykowsky\Desktop\NCSX\LEHMAN%20NOV%202005\lehma%20nov05%20master%20data%20%201025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ocuments%20and%20Settings\rstrykowsky\Local%20Settings\Temporary%20Internet%20Files\OLK4\lehma%20DEC06%20master%20data%20%20121106%20gh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iskOpportunities"/>
      <sheetName val="Budget Reconciliation"/>
      <sheetName val="EC36 vs EC38 job comparision"/>
      <sheetName val="Contingency Analysis"/>
      <sheetName val="LEHMAN WORKSHEET"/>
      <sheetName val="ECP38 reconciliation"/>
      <sheetName val="Budget Summary"/>
      <sheetName val="Mpwr job"/>
      <sheetName val="Mpwr smry"/>
      <sheetName val="Milestones"/>
      <sheetName val="EIO IMPACT"/>
      <sheetName val="Summary Schedule"/>
      <sheetName val="Funding"/>
      <sheetName val="wbs2 budgets by fy"/>
    </sheetNames>
    <sheetDataSet>
      <sheetData sheetId="8">
        <row r="16">
          <cell r="I16">
            <v>38808</v>
          </cell>
          <cell r="J16">
            <v>38838</v>
          </cell>
          <cell r="K16">
            <v>38869</v>
          </cell>
          <cell r="L16">
            <v>38899</v>
          </cell>
          <cell r="M16">
            <v>38930</v>
          </cell>
          <cell r="N16">
            <v>38961</v>
          </cell>
          <cell r="O16">
            <v>38991</v>
          </cell>
          <cell r="P16">
            <v>39022</v>
          </cell>
          <cell r="Q16">
            <v>39052</v>
          </cell>
          <cell r="R16">
            <v>39083</v>
          </cell>
          <cell r="S16">
            <v>39114</v>
          </cell>
          <cell r="T16">
            <v>39142</v>
          </cell>
          <cell r="U16">
            <v>39173</v>
          </cell>
          <cell r="V16">
            <v>39203</v>
          </cell>
          <cell r="W16">
            <v>39234</v>
          </cell>
          <cell r="X16">
            <v>39264</v>
          </cell>
          <cell r="Y16">
            <v>39295</v>
          </cell>
          <cell r="Z16">
            <v>39326</v>
          </cell>
          <cell r="AA16">
            <v>39356</v>
          </cell>
          <cell r="AB16">
            <v>39387</v>
          </cell>
          <cell r="AC16">
            <v>39417</v>
          </cell>
          <cell r="AD16">
            <v>39448</v>
          </cell>
          <cell r="AE16">
            <v>39479</v>
          </cell>
          <cell r="AF16">
            <v>39508</v>
          </cell>
          <cell r="AG16">
            <v>39539</v>
          </cell>
          <cell r="AH16">
            <v>39569</v>
          </cell>
          <cell r="AI16">
            <v>39600</v>
          </cell>
          <cell r="AJ16">
            <v>39630</v>
          </cell>
          <cell r="AK16">
            <v>39661</v>
          </cell>
          <cell r="AL16">
            <v>39692</v>
          </cell>
          <cell r="AM16">
            <v>39722</v>
          </cell>
          <cell r="AN16">
            <v>39753</v>
          </cell>
          <cell r="AO16">
            <v>39783</v>
          </cell>
          <cell r="AP16">
            <v>39814</v>
          </cell>
          <cell r="AQ16">
            <v>39845</v>
          </cell>
          <cell r="AR16">
            <v>39873</v>
          </cell>
          <cell r="AS16">
            <v>39904</v>
          </cell>
        </row>
        <row r="18">
          <cell r="B18" t="str">
            <v>PPPL Tecnicians BASELINE</v>
          </cell>
          <cell r="I18">
            <v>25.099999999999998</v>
          </cell>
          <cell r="J18">
            <v>26</v>
          </cell>
          <cell r="K18">
            <v>25.9</v>
          </cell>
          <cell r="L18">
            <v>19.599999999999998</v>
          </cell>
          <cell r="M18">
            <v>23.3</v>
          </cell>
          <cell r="N18">
            <v>20.3</v>
          </cell>
          <cell r="O18">
            <v>33.5</v>
          </cell>
          <cell r="P18">
            <v>31.1</v>
          </cell>
          <cell r="Q18">
            <v>22.4</v>
          </cell>
          <cell r="R18">
            <v>37.9</v>
          </cell>
          <cell r="S18">
            <v>29.2</v>
          </cell>
          <cell r="T18">
            <v>28.3</v>
          </cell>
          <cell r="U18">
            <v>32.3</v>
          </cell>
          <cell r="V18">
            <v>34.2</v>
          </cell>
          <cell r="W18">
            <v>36.2</v>
          </cell>
          <cell r="X18">
            <v>41</v>
          </cell>
          <cell r="Y18">
            <v>42.5</v>
          </cell>
          <cell r="Z18">
            <v>23.5</v>
          </cell>
          <cell r="AA18">
            <v>37.099999999999994</v>
          </cell>
          <cell r="AB18">
            <v>32.6</v>
          </cell>
          <cell r="AC18">
            <v>23.4</v>
          </cell>
          <cell r="AD18">
            <v>27</v>
          </cell>
          <cell r="AE18">
            <v>23.5</v>
          </cell>
          <cell r="AF18">
            <v>19.8</v>
          </cell>
          <cell r="AG18">
            <v>21.5</v>
          </cell>
          <cell r="AH18">
            <v>17.2</v>
          </cell>
          <cell r="AI18">
            <v>15</v>
          </cell>
          <cell r="AJ18">
            <v>18</v>
          </cell>
          <cell r="AK18">
            <v>20.1</v>
          </cell>
          <cell r="AL18">
            <v>19.5</v>
          </cell>
          <cell r="AM18">
            <v>18.7</v>
          </cell>
          <cell r="AN18">
            <v>12.1</v>
          </cell>
          <cell r="AO18">
            <v>16.3</v>
          </cell>
          <cell r="AP18">
            <v>10.899999999999999</v>
          </cell>
          <cell r="AQ18">
            <v>8.5</v>
          </cell>
          <cell r="AR18">
            <v>2</v>
          </cell>
          <cell r="AS18">
            <v>0</v>
          </cell>
        </row>
        <row r="22">
          <cell r="B22" t="str">
            <v>PPPL Tecnicians ETC</v>
          </cell>
          <cell r="I22">
            <v>18.325333333333333</v>
          </cell>
          <cell r="J22">
            <v>25.130666666666666</v>
          </cell>
          <cell r="K22">
            <v>24.120666666666665</v>
          </cell>
          <cell r="L22">
            <v>23.092666666666666</v>
          </cell>
          <cell r="M22">
            <v>26.831333333333333</v>
          </cell>
          <cell r="N22">
            <v>19.364666666666665</v>
          </cell>
          <cell r="O22">
            <v>32.01466666666666</v>
          </cell>
          <cell r="P22">
            <v>24.19333333333333</v>
          </cell>
          <cell r="Q22">
            <v>21.991333333333333</v>
          </cell>
          <cell r="R22">
            <v>26.636</v>
          </cell>
          <cell r="S22">
            <v>23.212</v>
          </cell>
          <cell r="T22">
            <v>23.924666666666667</v>
          </cell>
          <cell r="U22">
            <v>26.843999999999998</v>
          </cell>
          <cell r="V22">
            <v>35.026666666666664</v>
          </cell>
          <cell r="W22">
            <v>29.265333333333334</v>
          </cell>
          <cell r="X22">
            <v>37.262</v>
          </cell>
          <cell r="Y22">
            <v>39.596</v>
          </cell>
          <cell r="Z22">
            <v>27.484666666666666</v>
          </cell>
          <cell r="AA22">
            <v>46.626</v>
          </cell>
          <cell r="AB22">
            <v>26.979333333333333</v>
          </cell>
          <cell r="AC22">
            <v>20.607333333333333</v>
          </cell>
          <cell r="AD22">
            <v>19.967333333333332</v>
          </cell>
          <cell r="AE22">
            <v>22.49266666666667</v>
          </cell>
          <cell r="AF22">
            <v>16.885333333333335</v>
          </cell>
          <cell r="AG22">
            <v>22.085333333333335</v>
          </cell>
          <cell r="AH22">
            <v>15.852666666666668</v>
          </cell>
          <cell r="AI22">
            <v>17.122</v>
          </cell>
          <cell r="AJ22">
            <v>18.218666666666667</v>
          </cell>
          <cell r="AK22">
            <v>20.822666666666667</v>
          </cell>
          <cell r="AL22">
            <v>22.486666666666668</v>
          </cell>
          <cell r="AM22">
            <v>15.444666666666665</v>
          </cell>
          <cell r="AN22">
            <v>9.784666666666666</v>
          </cell>
          <cell r="AO22">
            <v>5.716</v>
          </cell>
          <cell r="AP22">
            <v>6.377333333333334</v>
          </cell>
          <cell r="AQ22">
            <v>0.838</v>
          </cell>
          <cell r="AR22">
            <v>0</v>
          </cell>
          <cell r="AS2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Opportunities may06"/>
      <sheetName val="ETC deltas"/>
      <sheetName val="Contingency Analysis may06"/>
      <sheetName val="LEHMAN WORKSHEET"/>
      <sheetName val="Budget Summary may06"/>
      <sheetName val="ETC Log"/>
      <sheetName val="Contingency"/>
      <sheetName val="Mpwr smry"/>
      <sheetName val="Milestones may06"/>
      <sheetName val="EIO IMPACT"/>
      <sheetName val="Summary Schedule may06"/>
      <sheetName val="BA BO Profile"/>
      <sheetName val="Financial History"/>
    </sheetNames>
    <sheetDataSet>
      <sheetData sheetId="6">
        <row r="156">
          <cell r="I156">
            <v>5042.646782039028</v>
          </cell>
          <cell r="J156">
            <v>619</v>
          </cell>
          <cell r="K156">
            <v>5661.646782039028</v>
          </cell>
          <cell r="L156">
            <v>0.09174098857071468</v>
          </cell>
          <cell r="M156">
            <v>519.405072722466</v>
          </cell>
          <cell r="N156">
            <v>3918.5</v>
          </cell>
          <cell r="O156">
            <v>86.3</v>
          </cell>
          <cell r="P156">
            <v>4004.7999999999997</v>
          </cell>
          <cell r="Q156">
            <v>0.3613268577706752</v>
          </cell>
          <cell r="R156">
            <v>1447.0418</v>
          </cell>
          <cell r="S156">
            <v>1150</v>
          </cell>
          <cell r="T156">
            <v>1136.5</v>
          </cell>
          <cell r="U156">
            <v>-11.5</v>
          </cell>
          <cell r="V156">
            <v>1125</v>
          </cell>
          <cell r="W156">
            <v>0.1269297925834047</v>
          </cell>
          <cell r="X156">
            <v>142.7960166563303</v>
          </cell>
          <cell r="Y156">
            <v>1800</v>
          </cell>
          <cell r="Z156">
            <v>10097.646782039028</v>
          </cell>
          <cell r="AA156">
            <v>693.8</v>
          </cell>
          <cell r="AB156">
            <v>10791.446782039027</v>
          </cell>
          <cell r="AC156">
            <v>0.1954550610293848</v>
          </cell>
          <cell r="AD156">
            <v>2109.2428893787965</v>
          </cell>
          <cell r="AE156">
            <v>2950</v>
          </cell>
          <cell r="AF156">
            <v>5059.2428893787965</v>
          </cell>
          <cell r="AG156">
            <v>0.46881970430501074</v>
          </cell>
          <cell r="AH156">
            <v>1138</v>
          </cell>
        </row>
        <row r="157">
          <cell r="I157">
            <v>3168.8453169490276</v>
          </cell>
          <cell r="J157">
            <v>619</v>
          </cell>
          <cell r="K157">
            <v>3787.8453169490276</v>
          </cell>
          <cell r="L157">
            <v>0.056427924716082656</v>
          </cell>
          <cell r="M157">
            <v>213.740250380966</v>
          </cell>
          <cell r="N157">
            <v>507</v>
          </cell>
          <cell r="O157">
            <v>98</v>
          </cell>
          <cell r="P157">
            <v>605</v>
          </cell>
          <cell r="Q157">
            <v>0.35861157024793383</v>
          </cell>
          <cell r="R157">
            <v>216.95999999999998</v>
          </cell>
          <cell r="S157">
            <v>250</v>
          </cell>
          <cell r="T157">
            <v>0</v>
          </cell>
          <cell r="U157">
            <v>0</v>
          </cell>
          <cell r="V157">
            <v>0</v>
          </cell>
          <cell r="X157">
            <v>0</v>
          </cell>
          <cell r="Y157">
            <v>0</v>
          </cell>
          <cell r="Z157">
            <v>3675.8453169490276</v>
          </cell>
          <cell r="AA157">
            <v>717</v>
          </cell>
          <cell r="AB157">
            <v>4392.845316949028</v>
          </cell>
          <cell r="AC157">
            <v>0.09804584939951884</v>
          </cell>
          <cell r="AD157">
            <v>430.70025038096594</v>
          </cell>
          <cell r="AE157">
            <v>250</v>
          </cell>
          <cell r="AF157">
            <v>680.7002503809659</v>
          </cell>
          <cell r="AG157">
            <v>0.15495657171323624</v>
          </cell>
          <cell r="AH157">
            <v>394</v>
          </cell>
        </row>
        <row r="158">
          <cell r="I158">
            <v>1841.84552909</v>
          </cell>
          <cell r="J158">
            <v>0</v>
          </cell>
          <cell r="K158">
            <v>1841.84552909</v>
          </cell>
          <cell r="L158">
            <v>0.1650882339148877</v>
          </cell>
          <cell r="M158">
            <v>304.0670255415</v>
          </cell>
          <cell r="N158">
            <v>1693.4</v>
          </cell>
          <cell r="O158">
            <v>-11.7</v>
          </cell>
          <cell r="P158">
            <v>1681.7</v>
          </cell>
          <cell r="Q158">
            <v>0.4026293631444372</v>
          </cell>
          <cell r="R158">
            <v>677.1018</v>
          </cell>
          <cell r="S158">
            <v>600</v>
          </cell>
          <cell r="T158">
            <v>11.5</v>
          </cell>
          <cell r="U158">
            <v>-11.5</v>
          </cell>
          <cell r="V158">
            <v>0</v>
          </cell>
          <cell r="X158">
            <v>0</v>
          </cell>
          <cell r="Y158">
            <v>700</v>
          </cell>
          <cell r="Z158">
            <v>3546.7455290899998</v>
          </cell>
          <cell r="AA158">
            <v>-23.2</v>
          </cell>
          <cell r="AB158">
            <v>3523.54552909</v>
          </cell>
          <cell r="AC158">
            <v>0.27846066339744424</v>
          </cell>
          <cell r="AD158">
            <v>981.1688255415</v>
          </cell>
          <cell r="AE158">
            <v>1300</v>
          </cell>
          <cell r="AF158">
            <v>2281.1688255415</v>
          </cell>
          <cell r="AG158">
            <v>0.6474072228408642</v>
          </cell>
          <cell r="AH158">
            <v>744</v>
          </cell>
        </row>
        <row r="159">
          <cell r="I159">
            <v>31.95593599999995</v>
          </cell>
          <cell r="J159">
            <v>0</v>
          </cell>
          <cell r="K159">
            <v>31.95593599999995</v>
          </cell>
          <cell r="L159">
            <v>0.05</v>
          </cell>
          <cell r="M159">
            <v>1.5977967999999976</v>
          </cell>
          <cell r="N159">
            <v>1718.1</v>
          </cell>
          <cell r="O159">
            <v>0</v>
          </cell>
          <cell r="P159">
            <v>1718.1</v>
          </cell>
          <cell r="Q159">
            <v>0.32185553809440665</v>
          </cell>
          <cell r="R159">
            <v>552.98</v>
          </cell>
          <cell r="S159">
            <v>300</v>
          </cell>
          <cell r="T159">
            <v>1125</v>
          </cell>
          <cell r="U159">
            <v>0</v>
          </cell>
          <cell r="V159">
            <v>1125</v>
          </cell>
          <cell r="W159">
            <v>0.1269297925834047</v>
          </cell>
          <cell r="X159">
            <v>142.7960166563303</v>
          </cell>
          <cell r="Y159">
            <v>1100</v>
          </cell>
          <cell r="Z159">
            <v>2875.0559359999997</v>
          </cell>
          <cell r="AA159">
            <v>0</v>
          </cell>
          <cell r="AB159">
            <v>2875.0559359999997</v>
          </cell>
          <cell r="AC159">
            <v>0.24256008543144056</v>
          </cell>
          <cell r="AD159">
            <v>697.3738134563303</v>
          </cell>
          <cell r="AE159">
            <v>1400</v>
          </cell>
          <cell r="AF159">
            <v>2097.37381345633</v>
          </cell>
          <cell r="AG159">
            <v>0.729507133128811</v>
          </cell>
          <cell r="AH159">
            <v>0</v>
          </cell>
        </row>
        <row r="160">
          <cell r="I160">
            <v>3825.0661521799993</v>
          </cell>
          <cell r="J160">
            <v>498</v>
          </cell>
          <cell r="K160">
            <v>4323.066152179999</v>
          </cell>
          <cell r="L160">
            <v>0.1589503843682772</v>
          </cell>
          <cell r="M160">
            <v>687.1530265385</v>
          </cell>
          <cell r="N160">
            <v>4143.5</v>
          </cell>
          <cell r="O160">
            <v>0</v>
          </cell>
          <cell r="P160">
            <v>4143.5</v>
          </cell>
          <cell r="Q160">
            <v>0.31733655122481</v>
          </cell>
          <cell r="R160">
            <v>1314.8840000000002</v>
          </cell>
          <cell r="S160">
            <v>1555</v>
          </cell>
          <cell r="T160">
            <v>874</v>
          </cell>
          <cell r="U160">
            <v>0</v>
          </cell>
          <cell r="V160">
            <v>874</v>
          </cell>
          <cell r="W160">
            <v>0</v>
          </cell>
          <cell r="X160">
            <v>0</v>
          </cell>
          <cell r="Y160">
            <v>1000.0225</v>
          </cell>
          <cell r="Z160">
            <v>8842.56615218</v>
          </cell>
          <cell r="AA160">
            <v>498</v>
          </cell>
          <cell r="AB160">
            <v>9340.56615218</v>
          </cell>
          <cell r="AC160">
            <v>0.2143378670971934</v>
          </cell>
          <cell r="AD160">
            <v>2002.0370265385</v>
          </cell>
          <cell r="AE160">
            <v>2555.0225</v>
          </cell>
          <cell r="AF160">
            <v>4557.059526538499</v>
          </cell>
          <cell r="AG160">
            <v>0.4878782990552371</v>
          </cell>
          <cell r="AH160">
            <v>890</v>
          </cell>
        </row>
        <row r="161">
          <cell r="I161">
            <v>116.73726113000004</v>
          </cell>
          <cell r="J161">
            <v>0</v>
          </cell>
          <cell r="K161">
            <v>116.73726113000004</v>
          </cell>
          <cell r="L161">
            <v>0.15</v>
          </cell>
          <cell r="M161">
            <v>17.510589169500005</v>
          </cell>
          <cell r="N161">
            <v>244</v>
          </cell>
          <cell r="O161">
            <v>0</v>
          </cell>
          <cell r="P161">
            <v>244</v>
          </cell>
          <cell r="Q161">
            <v>0.15</v>
          </cell>
          <cell r="R161">
            <v>36.6</v>
          </cell>
          <cell r="S161">
            <v>0</v>
          </cell>
          <cell r="T161">
            <v>0</v>
          </cell>
          <cell r="U161">
            <v>0</v>
          </cell>
          <cell r="V161">
            <v>0</v>
          </cell>
          <cell r="X161">
            <v>0</v>
          </cell>
          <cell r="Y161">
            <v>0.0225</v>
          </cell>
          <cell r="Z161">
            <v>360.73726113000004</v>
          </cell>
          <cell r="AA161">
            <v>0</v>
          </cell>
          <cell r="AB161">
            <v>360.73726113000004</v>
          </cell>
          <cell r="AC161">
            <v>0.15</v>
          </cell>
          <cell r="AD161">
            <v>54.1105891695</v>
          </cell>
          <cell r="AE161">
            <v>0.0225</v>
          </cell>
          <cell r="AF161">
            <v>54.1330891695</v>
          </cell>
          <cell r="AG161">
            <v>0.15006237226487087</v>
          </cell>
          <cell r="AH161">
            <v>0</v>
          </cell>
        </row>
        <row r="162">
          <cell r="I162">
            <v>398.50403</v>
          </cell>
          <cell r="J162">
            <v>0</v>
          </cell>
          <cell r="K162">
            <v>398.50403</v>
          </cell>
          <cell r="L162">
            <v>0.15260073405029304</v>
          </cell>
          <cell r="M162">
            <v>60.8120075</v>
          </cell>
          <cell r="N162">
            <v>850</v>
          </cell>
          <cell r="O162">
            <v>0</v>
          </cell>
          <cell r="P162">
            <v>850</v>
          </cell>
          <cell r="Q162">
            <v>0.29554</v>
          </cell>
          <cell r="R162">
            <v>251.209</v>
          </cell>
          <cell r="S162">
            <v>50</v>
          </cell>
          <cell r="T162">
            <v>0</v>
          </cell>
          <cell r="U162">
            <v>0</v>
          </cell>
          <cell r="V162">
            <v>0</v>
          </cell>
          <cell r="X162">
            <v>0</v>
          </cell>
          <cell r="Y162">
            <v>300</v>
          </cell>
          <cell r="Z162">
            <v>1248.50403</v>
          </cell>
          <cell r="AA162">
            <v>0</v>
          </cell>
          <cell r="AB162">
            <v>1248.50403</v>
          </cell>
          <cell r="AC162">
            <v>0.2499158993503609</v>
          </cell>
          <cell r="AD162">
            <v>312.0210075</v>
          </cell>
          <cell r="AE162">
            <v>350</v>
          </cell>
          <cell r="AF162">
            <v>662.0210075</v>
          </cell>
          <cell r="AG162">
            <v>0.5302513981472691</v>
          </cell>
          <cell r="AH162">
            <v>200</v>
          </cell>
        </row>
        <row r="163">
          <cell r="I163">
            <v>1067.02163</v>
          </cell>
          <cell r="J163">
            <v>347</v>
          </cell>
          <cell r="K163">
            <v>1414.02163</v>
          </cell>
          <cell r="L163">
            <v>0.20804044419037634</v>
          </cell>
          <cell r="M163">
            <v>294.17368799999997</v>
          </cell>
          <cell r="N163">
            <v>0</v>
          </cell>
          <cell r="O163">
            <v>0</v>
          </cell>
          <cell r="P163">
            <v>0</v>
          </cell>
          <cell r="R163">
            <v>0</v>
          </cell>
          <cell r="S163">
            <v>0</v>
          </cell>
          <cell r="T163">
            <v>0</v>
          </cell>
          <cell r="U163">
            <v>0</v>
          </cell>
          <cell r="V163">
            <v>0</v>
          </cell>
          <cell r="X163">
            <v>0</v>
          </cell>
          <cell r="Y163">
            <v>0</v>
          </cell>
          <cell r="Z163">
            <v>1067.02163</v>
          </cell>
          <cell r="AA163">
            <v>347</v>
          </cell>
          <cell r="AB163">
            <v>1414.02163</v>
          </cell>
          <cell r="AC163">
            <v>0.20804044419037634</v>
          </cell>
          <cell r="AD163">
            <v>294.17368799999997</v>
          </cell>
          <cell r="AE163">
            <v>0</v>
          </cell>
          <cell r="AF163">
            <v>294.17368799999997</v>
          </cell>
          <cell r="AG163">
            <v>0.20804044419037634</v>
          </cell>
          <cell r="AH163">
            <v>0</v>
          </cell>
        </row>
        <row r="164">
          <cell r="I164">
            <v>476.3532568000001</v>
          </cell>
          <cell r="J164">
            <v>0</v>
          </cell>
          <cell r="K164">
            <v>476.3532568000001</v>
          </cell>
          <cell r="L164">
            <v>0.19999999999999998</v>
          </cell>
          <cell r="M164">
            <v>95.27065136000002</v>
          </cell>
          <cell r="N164">
            <v>0</v>
          </cell>
          <cell r="O164">
            <v>0</v>
          </cell>
          <cell r="P164">
            <v>0</v>
          </cell>
          <cell r="R164">
            <v>0</v>
          </cell>
          <cell r="S164">
            <v>0</v>
          </cell>
          <cell r="T164">
            <v>0</v>
          </cell>
          <cell r="U164">
            <v>0</v>
          </cell>
          <cell r="V164">
            <v>0</v>
          </cell>
          <cell r="X164">
            <v>0</v>
          </cell>
          <cell r="Y164">
            <v>0</v>
          </cell>
          <cell r="Z164">
            <v>476.3532568000001</v>
          </cell>
          <cell r="AA164">
            <v>0</v>
          </cell>
          <cell r="AB164">
            <v>476.3532568000001</v>
          </cell>
          <cell r="AC164">
            <v>0.19999999999999998</v>
          </cell>
          <cell r="AD164">
            <v>95.27065136000002</v>
          </cell>
          <cell r="AE164">
            <v>0</v>
          </cell>
          <cell r="AF164">
            <v>95.27065136000002</v>
          </cell>
          <cell r="AG164">
            <v>0.19999999999999998</v>
          </cell>
          <cell r="AH164">
            <v>0</v>
          </cell>
        </row>
        <row r="165">
          <cell r="I165">
            <v>567.6223</v>
          </cell>
          <cell r="J165">
            <v>0</v>
          </cell>
          <cell r="K165">
            <v>567.6223</v>
          </cell>
          <cell r="L165">
            <v>0.07461644829669306</v>
          </cell>
          <cell r="M165">
            <v>42.35396</v>
          </cell>
          <cell r="N165">
            <v>667</v>
          </cell>
          <cell r="O165">
            <v>0</v>
          </cell>
          <cell r="P165">
            <v>667</v>
          </cell>
          <cell r="Q165">
            <v>0.3</v>
          </cell>
          <cell r="R165">
            <v>200.1</v>
          </cell>
          <cell r="S165">
            <v>540</v>
          </cell>
          <cell r="T165">
            <v>0</v>
          </cell>
          <cell r="U165">
            <v>0</v>
          </cell>
          <cell r="V165">
            <v>0</v>
          </cell>
          <cell r="X165">
            <v>0</v>
          </cell>
          <cell r="Y165">
            <v>0</v>
          </cell>
          <cell r="Z165">
            <v>1234.6223</v>
          </cell>
          <cell r="AA165">
            <v>0</v>
          </cell>
          <cell r="AB165">
            <v>1234.6223</v>
          </cell>
          <cell r="AC165">
            <v>0.19637905454971938</v>
          </cell>
          <cell r="AD165">
            <v>242.45396</v>
          </cell>
          <cell r="AE165">
            <v>540</v>
          </cell>
          <cell r="AF165">
            <v>782.45396</v>
          </cell>
          <cell r="AG165">
            <v>0.6337597822427151</v>
          </cell>
          <cell r="AH165">
            <v>0</v>
          </cell>
        </row>
        <row r="166">
          <cell r="I166">
            <v>170.74</v>
          </cell>
          <cell r="J166">
            <v>0</v>
          </cell>
          <cell r="K166">
            <v>170.74</v>
          </cell>
          <cell r="L166">
            <v>0.1</v>
          </cell>
          <cell r="M166">
            <v>17.074</v>
          </cell>
          <cell r="N166">
            <v>956</v>
          </cell>
          <cell r="O166">
            <v>0</v>
          </cell>
          <cell r="P166">
            <v>956</v>
          </cell>
          <cell r="Q166">
            <v>0.2</v>
          </cell>
          <cell r="R166">
            <v>191.20000000000002</v>
          </cell>
          <cell r="S166">
            <v>50</v>
          </cell>
          <cell r="T166">
            <v>17</v>
          </cell>
          <cell r="U166">
            <v>0</v>
          </cell>
          <cell r="V166">
            <v>17</v>
          </cell>
          <cell r="W166">
            <v>0</v>
          </cell>
          <cell r="X166">
            <v>0</v>
          </cell>
          <cell r="Y166">
            <v>0</v>
          </cell>
          <cell r="Z166">
            <v>1143.74</v>
          </cell>
          <cell r="AA166">
            <v>0</v>
          </cell>
          <cell r="AB166">
            <v>1143.74</v>
          </cell>
          <cell r="AC166">
            <v>0.18209907846188822</v>
          </cell>
          <cell r="AD166">
            <v>208.27400000000003</v>
          </cell>
          <cell r="AE166">
            <v>50</v>
          </cell>
          <cell r="AF166">
            <v>258.274</v>
          </cell>
          <cell r="AG166">
            <v>0.2258153076748212</v>
          </cell>
          <cell r="AH166">
            <v>0</v>
          </cell>
        </row>
        <row r="167">
          <cell r="I167">
            <v>58.96627200000003</v>
          </cell>
          <cell r="J167">
            <v>0</v>
          </cell>
          <cell r="K167">
            <v>58.96627200000003</v>
          </cell>
          <cell r="L167">
            <v>0</v>
          </cell>
          <cell r="M167">
            <v>0</v>
          </cell>
          <cell r="N167">
            <v>674</v>
          </cell>
          <cell r="O167">
            <v>0</v>
          </cell>
          <cell r="P167">
            <v>674</v>
          </cell>
          <cell r="Q167">
            <v>0.25</v>
          </cell>
          <cell r="R167">
            <v>168.5</v>
          </cell>
          <cell r="S167">
            <v>100</v>
          </cell>
          <cell r="T167">
            <v>55</v>
          </cell>
          <cell r="U167">
            <v>0</v>
          </cell>
          <cell r="V167">
            <v>55</v>
          </cell>
          <cell r="W167">
            <v>0</v>
          </cell>
          <cell r="X167">
            <v>0</v>
          </cell>
          <cell r="Y167">
            <v>50</v>
          </cell>
          <cell r="Z167">
            <v>787.966272</v>
          </cell>
          <cell r="AA167">
            <v>0</v>
          </cell>
          <cell r="AB167">
            <v>787.966272</v>
          </cell>
          <cell r="AC167">
            <v>0.21384164016604</v>
          </cell>
          <cell r="AD167">
            <v>168.5</v>
          </cell>
          <cell r="AE167">
            <v>150</v>
          </cell>
          <cell r="AF167">
            <v>318.5</v>
          </cell>
          <cell r="AG167">
            <v>0.4042051180586572</v>
          </cell>
          <cell r="AH167">
            <v>0</v>
          </cell>
        </row>
        <row r="168">
          <cell r="I168">
            <v>172.2641231999997</v>
          </cell>
          <cell r="J168">
            <v>0</v>
          </cell>
          <cell r="K168">
            <v>172.2641231999997</v>
          </cell>
          <cell r="L168">
            <v>0.05</v>
          </cell>
          <cell r="M168">
            <v>8.613206159999985</v>
          </cell>
          <cell r="N168">
            <v>251.5</v>
          </cell>
          <cell r="O168">
            <v>0</v>
          </cell>
          <cell r="P168">
            <v>251.5</v>
          </cell>
          <cell r="Q168">
            <v>0.05</v>
          </cell>
          <cell r="R168">
            <v>12.575000000000001</v>
          </cell>
          <cell r="S168">
            <v>0</v>
          </cell>
          <cell r="T168">
            <v>153</v>
          </cell>
          <cell r="U168">
            <v>0</v>
          </cell>
          <cell r="V168">
            <v>153</v>
          </cell>
          <cell r="W168">
            <v>0</v>
          </cell>
          <cell r="X168">
            <v>0</v>
          </cell>
          <cell r="Y168">
            <v>200</v>
          </cell>
          <cell r="Z168">
            <v>576.7641231999996</v>
          </cell>
          <cell r="AA168">
            <v>0</v>
          </cell>
          <cell r="AB168">
            <v>576.7641231999996</v>
          </cell>
          <cell r="AC168">
            <v>0.0367363456007695</v>
          </cell>
          <cell r="AD168">
            <v>21.188206159999986</v>
          </cell>
          <cell r="AE168">
            <v>200</v>
          </cell>
          <cell r="AF168">
            <v>221.18820616</v>
          </cell>
          <cell r="AG168">
            <v>0.3834985521165997</v>
          </cell>
          <cell r="AH168">
            <v>0</v>
          </cell>
        </row>
        <row r="169">
          <cell r="I169">
            <v>796.85727905</v>
          </cell>
          <cell r="J169">
            <v>151</v>
          </cell>
          <cell r="K169">
            <v>947.85727905</v>
          </cell>
          <cell r="L169">
            <v>0.15967058300241893</v>
          </cell>
          <cell r="M169">
            <v>151.344924349</v>
          </cell>
          <cell r="N169">
            <v>277</v>
          </cell>
          <cell r="O169">
            <v>0</v>
          </cell>
          <cell r="P169">
            <v>277</v>
          </cell>
          <cell r="Q169">
            <v>1.3989169675090252</v>
          </cell>
          <cell r="R169">
            <v>387.5</v>
          </cell>
          <cell r="S169">
            <v>815</v>
          </cell>
          <cell r="T169">
            <v>61</v>
          </cell>
          <cell r="U169">
            <v>0</v>
          </cell>
          <cell r="V169">
            <v>61</v>
          </cell>
          <cell r="W169">
            <v>0</v>
          </cell>
          <cell r="X169">
            <v>0</v>
          </cell>
          <cell r="Y169">
            <v>200</v>
          </cell>
          <cell r="Z169">
            <v>1134.85727905</v>
          </cell>
          <cell r="AA169">
            <v>151</v>
          </cell>
          <cell r="AB169">
            <v>1285.85727905</v>
          </cell>
          <cell r="AC169">
            <v>0.4190550017705715</v>
          </cell>
          <cell r="AD169">
            <v>538.8449243489999</v>
          </cell>
          <cell r="AE169">
            <v>1015</v>
          </cell>
          <cell r="AF169">
            <v>1553.844924349</v>
          </cell>
          <cell r="AG169">
            <v>1.2084116563052714</v>
          </cell>
          <cell r="AH169">
            <v>690</v>
          </cell>
        </row>
        <row r="170">
          <cell r="I170">
            <v>0</v>
          </cell>
          <cell r="J170">
            <v>0</v>
          </cell>
          <cell r="K170">
            <v>0</v>
          </cell>
          <cell r="M170">
            <v>0</v>
          </cell>
          <cell r="N170">
            <v>224</v>
          </cell>
          <cell r="O170">
            <v>0</v>
          </cell>
          <cell r="P170">
            <v>224</v>
          </cell>
          <cell r="Q170">
            <v>0.3</v>
          </cell>
          <cell r="R170">
            <v>67.2</v>
          </cell>
          <cell r="S170">
            <v>0</v>
          </cell>
          <cell r="T170">
            <v>588</v>
          </cell>
          <cell r="U170">
            <v>0</v>
          </cell>
          <cell r="V170">
            <v>588</v>
          </cell>
          <cell r="W170">
            <v>0</v>
          </cell>
          <cell r="X170">
            <v>0</v>
          </cell>
          <cell r="Y170">
            <v>250</v>
          </cell>
          <cell r="Z170">
            <v>812</v>
          </cell>
          <cell r="AA170">
            <v>0</v>
          </cell>
          <cell r="AB170">
            <v>812</v>
          </cell>
          <cell r="AC170">
            <v>0.08275862068965517</v>
          </cell>
          <cell r="AD170">
            <v>67.2</v>
          </cell>
          <cell r="AE170">
            <v>250</v>
          </cell>
          <cell r="AF170">
            <v>317.2</v>
          </cell>
          <cell r="AG170">
            <v>0.39064039408866996</v>
          </cell>
          <cell r="AH170">
            <v>0</v>
          </cell>
        </row>
        <row r="171">
          <cell r="I171">
            <v>3053.102160998389</v>
          </cell>
          <cell r="J171">
            <v>-690</v>
          </cell>
          <cell r="K171">
            <v>2363.102160998389</v>
          </cell>
          <cell r="L171">
            <v>0.07835667192724712</v>
          </cell>
          <cell r="M171">
            <v>185.16482075991945</v>
          </cell>
          <cell r="N171">
            <v>4794.6</v>
          </cell>
          <cell r="O171">
            <v>-502</v>
          </cell>
          <cell r="P171">
            <v>4292.6</v>
          </cell>
          <cell r="Q171">
            <v>0.16142664119647765</v>
          </cell>
          <cell r="R171">
            <v>692.94</v>
          </cell>
          <cell r="S171">
            <v>0</v>
          </cell>
          <cell r="T171">
            <v>280.6</v>
          </cell>
          <cell r="U171">
            <v>0</v>
          </cell>
          <cell r="V171">
            <v>280.6</v>
          </cell>
          <cell r="W171">
            <v>0</v>
          </cell>
          <cell r="X171">
            <v>0</v>
          </cell>
          <cell r="Y171">
            <v>1100</v>
          </cell>
          <cell r="Z171">
            <v>8128.30216099839</v>
          </cell>
          <cell r="AA171">
            <v>-1192</v>
          </cell>
          <cell r="AB171">
            <v>6936.30216099839</v>
          </cell>
          <cell r="AC171">
            <v>0.12659552602788107</v>
          </cell>
          <cell r="AD171">
            <v>878.1048207599194</v>
          </cell>
          <cell r="AE171">
            <v>1100</v>
          </cell>
          <cell r="AF171">
            <v>1978.1048207599194</v>
          </cell>
          <cell r="AG171">
            <v>0.2851814662692257</v>
          </cell>
          <cell r="AH171">
            <v>314</v>
          </cell>
        </row>
        <row r="172">
          <cell r="I172">
            <v>880.2037651999999</v>
          </cell>
          <cell r="J172">
            <v>0</v>
          </cell>
          <cell r="K172">
            <v>880.2037651999999</v>
          </cell>
          <cell r="L172">
            <v>0.10037177409701907</v>
          </cell>
          <cell r="M172">
            <v>88.34761348</v>
          </cell>
          <cell r="N172">
            <v>247</v>
          </cell>
          <cell r="O172">
            <v>0</v>
          </cell>
          <cell r="P172">
            <v>247</v>
          </cell>
          <cell r="Q172">
            <v>0.1</v>
          </cell>
          <cell r="R172">
            <v>24.700000000000003</v>
          </cell>
          <cell r="S172">
            <v>0</v>
          </cell>
          <cell r="T172">
            <v>0</v>
          </cell>
          <cell r="U172">
            <v>0</v>
          </cell>
          <cell r="V172">
            <v>0</v>
          </cell>
          <cell r="X172">
            <v>0</v>
          </cell>
          <cell r="Y172">
            <v>50</v>
          </cell>
          <cell r="Z172">
            <v>1127.2037652</v>
          </cell>
          <cell r="AA172">
            <v>0</v>
          </cell>
          <cell r="AB172">
            <v>1127.2037652</v>
          </cell>
          <cell r="AC172">
            <v>0.10029030861154191</v>
          </cell>
          <cell r="AD172">
            <v>113.04761348000001</v>
          </cell>
          <cell r="AE172">
            <v>50</v>
          </cell>
          <cell r="AF172">
            <v>163.04761348</v>
          </cell>
          <cell r="AG172">
            <v>0.14464786094027146</v>
          </cell>
          <cell r="AH172">
            <v>0</v>
          </cell>
        </row>
        <row r="173">
          <cell r="I173">
            <v>1175.0463696499992</v>
          </cell>
          <cell r="J173">
            <v>0</v>
          </cell>
          <cell r="K173">
            <v>1175.0463696499992</v>
          </cell>
          <cell r="L173">
            <v>0.05</v>
          </cell>
          <cell r="M173">
            <v>58.75231848249996</v>
          </cell>
          <cell r="N173">
            <v>0</v>
          </cell>
          <cell r="O173">
            <v>0</v>
          </cell>
          <cell r="P173">
            <v>0</v>
          </cell>
          <cell r="R173">
            <v>0</v>
          </cell>
          <cell r="S173">
            <v>0</v>
          </cell>
          <cell r="T173">
            <v>0</v>
          </cell>
          <cell r="U173">
            <v>0</v>
          </cell>
          <cell r="V173">
            <v>0</v>
          </cell>
          <cell r="X173">
            <v>0</v>
          </cell>
          <cell r="Y173">
            <v>0</v>
          </cell>
          <cell r="Z173">
            <v>1175.0463696499992</v>
          </cell>
          <cell r="AA173">
            <v>0</v>
          </cell>
          <cell r="AB173">
            <v>1175.0463696499992</v>
          </cell>
          <cell r="AC173">
            <v>0.05</v>
          </cell>
          <cell r="AD173">
            <v>58.75231848249996</v>
          </cell>
          <cell r="AE173">
            <v>0</v>
          </cell>
          <cell r="AF173">
            <v>58.75231848249996</v>
          </cell>
          <cell r="AG173">
            <v>0.05</v>
          </cell>
          <cell r="AH173">
            <v>0</v>
          </cell>
        </row>
        <row r="174">
          <cell r="I174">
            <v>0</v>
          </cell>
          <cell r="J174">
            <v>0</v>
          </cell>
          <cell r="K174">
            <v>0</v>
          </cell>
          <cell r="M174">
            <v>0</v>
          </cell>
          <cell r="N174">
            <v>138.2</v>
          </cell>
          <cell r="O174">
            <v>0</v>
          </cell>
          <cell r="P174">
            <v>138.2</v>
          </cell>
          <cell r="Q174">
            <v>0.1</v>
          </cell>
          <cell r="R174">
            <v>13.82</v>
          </cell>
          <cell r="S174">
            <v>0</v>
          </cell>
          <cell r="T174">
            <v>0</v>
          </cell>
          <cell r="U174">
            <v>0</v>
          </cell>
          <cell r="V174">
            <v>0</v>
          </cell>
          <cell r="X174">
            <v>0</v>
          </cell>
          <cell r="Y174">
            <v>50</v>
          </cell>
          <cell r="Z174">
            <v>138.2</v>
          </cell>
          <cell r="AA174">
            <v>0</v>
          </cell>
          <cell r="AB174">
            <v>138.2</v>
          </cell>
          <cell r="AC174">
            <v>0.1</v>
          </cell>
          <cell r="AD174">
            <v>13.82</v>
          </cell>
          <cell r="AE174">
            <v>50</v>
          </cell>
          <cell r="AF174">
            <v>63.82</v>
          </cell>
          <cell r="AG174">
            <v>0.461794500723589</v>
          </cell>
          <cell r="AH174">
            <v>0</v>
          </cell>
        </row>
        <row r="175">
          <cell r="I175">
            <v>137.09896617000004</v>
          </cell>
          <cell r="J175">
            <v>0</v>
          </cell>
          <cell r="K175">
            <v>137.09896617000004</v>
          </cell>
          <cell r="L175">
            <v>0.131855376473697</v>
          </cell>
          <cell r="M175">
            <v>18.077235798500002</v>
          </cell>
          <cell r="N175">
            <v>59.6</v>
          </cell>
          <cell r="O175">
            <v>0</v>
          </cell>
          <cell r="P175">
            <v>59.6</v>
          </cell>
          <cell r="Q175">
            <v>0.21543624161073824</v>
          </cell>
          <cell r="R175">
            <v>12.84</v>
          </cell>
          <cell r="S175">
            <v>0</v>
          </cell>
          <cell r="T175">
            <v>0.1</v>
          </cell>
          <cell r="U175">
            <v>0</v>
          </cell>
          <cell r="V175">
            <v>0.1</v>
          </cell>
          <cell r="W175">
            <v>0</v>
          </cell>
          <cell r="X175">
            <v>0</v>
          </cell>
          <cell r="Y175">
            <v>175</v>
          </cell>
          <cell r="Z175">
            <v>196.79896617000003</v>
          </cell>
          <cell r="AA175">
            <v>0</v>
          </cell>
          <cell r="AB175">
            <v>196.79896617000003</v>
          </cell>
          <cell r="AC175">
            <v>0.1571006006799492</v>
          </cell>
          <cell r="AD175">
            <v>30.917235798500002</v>
          </cell>
          <cell r="AE175">
            <v>175</v>
          </cell>
          <cell r="AF175">
            <v>205.9172357985</v>
          </cell>
          <cell r="AG175">
            <v>1.046332914272646</v>
          </cell>
          <cell r="AH175">
            <v>0</v>
          </cell>
        </row>
        <row r="176">
          <cell r="I176">
            <v>0</v>
          </cell>
          <cell r="J176">
            <v>-229</v>
          </cell>
          <cell r="K176">
            <v>-229</v>
          </cell>
          <cell r="L176">
            <v>0</v>
          </cell>
          <cell r="M176">
            <v>0</v>
          </cell>
          <cell r="N176">
            <v>2287</v>
          </cell>
          <cell r="O176">
            <v>-401</v>
          </cell>
          <cell r="P176">
            <v>1886</v>
          </cell>
          <cell r="Q176">
            <v>0.1</v>
          </cell>
          <cell r="R176">
            <v>188.60000000000002</v>
          </cell>
          <cell r="S176">
            <v>0</v>
          </cell>
          <cell r="T176">
            <v>173</v>
          </cell>
          <cell r="U176">
            <v>0</v>
          </cell>
          <cell r="V176">
            <v>173</v>
          </cell>
          <cell r="W176">
            <v>0</v>
          </cell>
          <cell r="X176">
            <v>0</v>
          </cell>
          <cell r="Y176">
            <v>375</v>
          </cell>
          <cell r="Z176">
            <v>2460</v>
          </cell>
          <cell r="AA176">
            <v>-630</v>
          </cell>
          <cell r="AB176">
            <v>1830</v>
          </cell>
          <cell r="AC176">
            <v>0.1030601092896175</v>
          </cell>
          <cell r="AD176">
            <v>188.60000000000002</v>
          </cell>
          <cell r="AE176">
            <v>375</v>
          </cell>
          <cell r="AF176">
            <v>563.6</v>
          </cell>
          <cell r="AG176">
            <v>0.30797814207650276</v>
          </cell>
          <cell r="AH176">
            <v>0</v>
          </cell>
        </row>
        <row r="177">
          <cell r="I177">
            <v>0</v>
          </cell>
          <cell r="J177">
            <v>0</v>
          </cell>
          <cell r="K177">
            <v>0</v>
          </cell>
          <cell r="M177">
            <v>0</v>
          </cell>
          <cell r="N177">
            <v>730.1</v>
          </cell>
          <cell r="O177">
            <v>0</v>
          </cell>
          <cell r="P177">
            <v>730.1</v>
          </cell>
          <cell r="Q177">
            <v>0.1</v>
          </cell>
          <cell r="R177">
            <v>73.01</v>
          </cell>
          <cell r="S177">
            <v>0</v>
          </cell>
          <cell r="T177">
            <v>23</v>
          </cell>
          <cell r="U177">
            <v>0</v>
          </cell>
          <cell r="V177">
            <v>23</v>
          </cell>
          <cell r="W177">
            <v>0</v>
          </cell>
          <cell r="X177">
            <v>0</v>
          </cell>
          <cell r="Y177">
            <v>290</v>
          </cell>
          <cell r="Z177">
            <v>753.1</v>
          </cell>
          <cell r="AA177">
            <v>0</v>
          </cell>
          <cell r="AB177">
            <v>753.1</v>
          </cell>
          <cell r="AC177">
            <v>0.09694595671225602</v>
          </cell>
          <cell r="AD177">
            <v>73.01</v>
          </cell>
          <cell r="AE177">
            <v>290</v>
          </cell>
          <cell r="AF177">
            <v>363.01</v>
          </cell>
          <cell r="AG177">
            <v>0.48202097994954185</v>
          </cell>
          <cell r="AH177">
            <v>0</v>
          </cell>
        </row>
        <row r="178">
          <cell r="I178">
            <v>0</v>
          </cell>
          <cell r="J178">
            <v>0</v>
          </cell>
          <cell r="K178">
            <v>0</v>
          </cell>
          <cell r="M178">
            <v>0</v>
          </cell>
          <cell r="N178">
            <v>576</v>
          </cell>
          <cell r="O178">
            <v>0</v>
          </cell>
          <cell r="P178">
            <v>576</v>
          </cell>
          <cell r="Q178">
            <v>0.5458333333333333</v>
          </cell>
          <cell r="R178">
            <v>314.4</v>
          </cell>
          <cell r="S178">
            <v>0</v>
          </cell>
          <cell r="T178">
            <v>0</v>
          </cell>
          <cell r="U178">
            <v>0</v>
          </cell>
          <cell r="V178">
            <v>0</v>
          </cell>
          <cell r="X178">
            <v>0</v>
          </cell>
          <cell r="Y178">
            <v>100</v>
          </cell>
          <cell r="Z178">
            <v>576</v>
          </cell>
          <cell r="AA178">
            <v>0</v>
          </cell>
          <cell r="AB178">
            <v>576</v>
          </cell>
          <cell r="AC178">
            <v>0.5458333333333333</v>
          </cell>
          <cell r="AD178">
            <v>314.4</v>
          </cell>
          <cell r="AE178">
            <v>100</v>
          </cell>
          <cell r="AF178">
            <v>414.4</v>
          </cell>
          <cell r="AG178">
            <v>0.7194444444444444</v>
          </cell>
          <cell r="AH178">
            <v>314</v>
          </cell>
        </row>
        <row r="179">
          <cell r="I179">
            <v>860.75305997839</v>
          </cell>
          <cell r="J179">
            <v>-461</v>
          </cell>
          <cell r="K179">
            <v>399.75305997838996</v>
          </cell>
          <cell r="L179">
            <v>0.049999999999999996</v>
          </cell>
          <cell r="M179">
            <v>19.987652998919497</v>
          </cell>
          <cell r="N179">
            <v>756.7</v>
          </cell>
          <cell r="O179">
            <v>-101</v>
          </cell>
          <cell r="P179">
            <v>655.7</v>
          </cell>
          <cell r="Q179">
            <v>0.1</v>
          </cell>
          <cell r="R179">
            <v>65.57000000000001</v>
          </cell>
          <cell r="S179">
            <v>0</v>
          </cell>
          <cell r="T179">
            <v>84.5</v>
          </cell>
          <cell r="U179">
            <v>0</v>
          </cell>
          <cell r="V179">
            <v>84.5</v>
          </cell>
          <cell r="W179">
            <v>0</v>
          </cell>
          <cell r="X179">
            <v>0</v>
          </cell>
          <cell r="Y179">
            <v>60</v>
          </cell>
          <cell r="Z179">
            <v>1701.95305997839</v>
          </cell>
          <cell r="AA179">
            <v>-562</v>
          </cell>
          <cell r="AB179">
            <v>1139.95305997839</v>
          </cell>
          <cell r="AC179">
            <v>0.07505366317499197</v>
          </cell>
          <cell r="AD179">
            <v>85.55765299891951</v>
          </cell>
          <cell r="AE179">
            <v>60</v>
          </cell>
          <cell r="AF179">
            <v>145.5576529989195</v>
          </cell>
          <cell r="AG179">
            <v>0.1276874093409415</v>
          </cell>
          <cell r="AH179">
            <v>0</v>
          </cell>
        </row>
        <row r="180">
          <cell r="I180">
            <v>11920.815095217416</v>
          </cell>
          <cell r="J180">
            <v>427</v>
          </cell>
          <cell r="K180">
            <v>12347.815095217416</v>
          </cell>
          <cell r="L180">
            <v>0.11271005512221596</v>
          </cell>
          <cell r="M180">
            <v>1391.7229200208853</v>
          </cell>
          <cell r="N180">
            <v>12856.6</v>
          </cell>
          <cell r="O180">
            <v>-415.7</v>
          </cell>
          <cell r="P180">
            <v>12440.9</v>
          </cell>
          <cell r="Q180">
            <v>0.27770224019162604</v>
          </cell>
          <cell r="R180">
            <v>3454.8658</v>
          </cell>
          <cell r="S180">
            <v>2705</v>
          </cell>
          <cell r="T180">
            <v>2291.1</v>
          </cell>
          <cell r="U180">
            <v>-11.5</v>
          </cell>
          <cell r="V180">
            <v>2279.6</v>
          </cell>
          <cell r="W180">
            <v>0.06264082148461586</v>
          </cell>
          <cell r="X180">
            <v>142.7960166563303</v>
          </cell>
          <cell r="Y180">
            <v>3900.0225</v>
          </cell>
          <cell r="Z180">
            <v>27068.515095217415</v>
          </cell>
          <cell r="AA180">
            <v>-0.19999999999998863</v>
          </cell>
          <cell r="AB180">
            <v>27068.31509521742</v>
          </cell>
          <cell r="AC180">
            <v>0.18432564860894385</v>
          </cell>
          <cell r="AD180">
            <v>4989.384736677216</v>
          </cell>
          <cell r="AE180">
            <v>6605.0225</v>
          </cell>
          <cell r="AF180">
            <v>11594.407236677216</v>
          </cell>
          <cell r="AG180">
            <v>0.42833871247219896</v>
          </cell>
          <cell r="AH180">
            <v>2342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C4:H24"/>
  <sheetViews>
    <sheetView workbookViewId="0" topLeftCell="A1">
      <selection activeCell="C6" sqref="C6:G13"/>
    </sheetView>
  </sheetViews>
  <sheetFormatPr defaultColWidth="9.140625" defaultRowHeight="12.75"/>
  <cols>
    <col min="1" max="2" width="9.140625" style="2" customWidth="1"/>
    <col min="3" max="3" width="34.57421875" style="2" customWidth="1"/>
    <col min="4" max="4" width="17.8515625" style="238" customWidth="1"/>
    <col min="5" max="5" width="1.8515625" style="238" hidden="1" customWidth="1"/>
    <col min="6" max="6" width="18.57421875" style="238" hidden="1" customWidth="1"/>
    <col min="7" max="7" width="48.7109375" style="2" customWidth="1"/>
    <col min="8" max="16384" width="9.140625" style="2" customWidth="1"/>
  </cols>
  <sheetData>
    <row r="3" ht="13.5" thickBot="1"/>
    <row r="4" spans="3:7" ht="21" thickBot="1">
      <c r="C4" s="504"/>
      <c r="D4" s="505" t="s">
        <v>112</v>
      </c>
      <c r="E4" s="506"/>
      <c r="F4" s="505" t="s">
        <v>113</v>
      </c>
      <c r="G4" s="507"/>
    </row>
    <row r="5" spans="3:7" ht="12" customHeight="1">
      <c r="C5" s="504"/>
      <c r="D5" s="508"/>
      <c r="E5" s="508"/>
      <c r="F5" s="508"/>
      <c r="G5" s="509"/>
    </row>
    <row r="6" spans="3:7" s="513" customFormat="1" ht="54">
      <c r="C6" s="510" t="s">
        <v>484</v>
      </c>
      <c r="D6" s="535">
        <v>200</v>
      </c>
      <c r="E6" s="511"/>
      <c r="F6" s="511"/>
      <c r="G6" s="512" t="s">
        <v>490</v>
      </c>
    </row>
    <row r="7" spans="3:7" s="513" customFormat="1" ht="54" hidden="1">
      <c r="C7" s="510" t="s">
        <v>485</v>
      </c>
      <c r="D7" s="535"/>
      <c r="E7" s="511"/>
      <c r="F7" s="511"/>
      <c r="G7" s="512" t="s">
        <v>491</v>
      </c>
    </row>
    <row r="8" spans="3:7" s="513" customFormat="1" ht="90">
      <c r="C8" s="510" t="s">
        <v>486</v>
      </c>
      <c r="D8" s="535">
        <v>744</v>
      </c>
      <c r="E8" s="511"/>
      <c r="F8" s="511"/>
      <c r="G8" s="512" t="s">
        <v>487</v>
      </c>
    </row>
    <row r="9" spans="3:7" s="513" customFormat="1" ht="54">
      <c r="C9" s="510" t="s">
        <v>488</v>
      </c>
      <c r="D9" s="535">
        <v>394</v>
      </c>
      <c r="E9" s="511"/>
      <c r="F9" s="511"/>
      <c r="G9" s="512" t="s">
        <v>492</v>
      </c>
    </row>
    <row r="10" spans="3:7" s="513" customFormat="1" ht="90">
      <c r="C10" s="514" t="s">
        <v>396</v>
      </c>
      <c r="D10" s="535">
        <v>690</v>
      </c>
      <c r="E10" s="515"/>
      <c r="F10" s="516"/>
      <c r="G10" s="510" t="s">
        <v>489</v>
      </c>
    </row>
    <row r="11" spans="3:7" s="513" customFormat="1" ht="36">
      <c r="C11" s="514" t="s">
        <v>493</v>
      </c>
      <c r="D11" s="535">
        <v>314</v>
      </c>
      <c r="E11" s="515"/>
      <c r="F11" s="516"/>
      <c r="G11" s="510" t="s">
        <v>494</v>
      </c>
    </row>
    <row r="12" spans="3:7" s="513" customFormat="1" ht="18.75" thickBot="1">
      <c r="C12" s="514"/>
      <c r="D12" s="536"/>
      <c r="E12" s="518"/>
      <c r="F12" s="519"/>
      <c r="G12" s="517"/>
    </row>
    <row r="13" spans="3:7" s="513" customFormat="1" ht="18">
      <c r="C13" s="514"/>
      <c r="D13" s="537">
        <f>SUM(D6:D11)</f>
        <v>2342</v>
      </c>
      <c r="E13" s="511"/>
      <c r="F13" s="538">
        <f>SUM(F6:F11)</f>
        <v>0</v>
      </c>
      <c r="G13" s="517"/>
    </row>
    <row r="14" spans="3:7" s="513" customFormat="1" ht="18">
      <c r="C14" s="510"/>
      <c r="D14" s="520"/>
      <c r="E14" s="518"/>
      <c r="F14" s="521"/>
      <c r="G14" s="512"/>
    </row>
    <row r="15" spans="3:7" ht="187.5">
      <c r="C15" s="514"/>
      <c r="D15" s="522"/>
      <c r="E15" s="522"/>
      <c r="F15" s="522"/>
      <c r="G15" s="544" t="s">
        <v>495</v>
      </c>
    </row>
    <row r="16" spans="3:6" ht="18">
      <c r="C16" s="523"/>
      <c r="D16" s="524"/>
      <c r="E16" s="525"/>
      <c r="F16" s="526"/>
    </row>
    <row r="17" spans="3:6" ht="18">
      <c r="C17" s="523"/>
      <c r="D17" s="524"/>
      <c r="E17" s="527"/>
      <c r="F17" s="526"/>
    </row>
    <row r="18" spans="3:8" ht="18">
      <c r="C18" s="528"/>
      <c r="G18" s="529"/>
      <c r="H18" s="3"/>
    </row>
    <row r="19" spans="3:8" ht="15">
      <c r="C19" s="530"/>
      <c r="D19" s="531"/>
      <c r="E19" s="532"/>
      <c r="F19" s="533"/>
      <c r="G19" s="534"/>
      <c r="H19" s="3"/>
    </row>
    <row r="20" spans="3:8" ht="15">
      <c r="C20" s="530"/>
      <c r="D20" s="531"/>
      <c r="E20" s="532"/>
      <c r="F20" s="531"/>
      <c r="G20" s="534"/>
      <c r="H20" s="3"/>
    </row>
    <row r="21" spans="3:8" ht="12.75">
      <c r="C21" s="3"/>
      <c r="D21" s="522"/>
      <c r="E21" s="522"/>
      <c r="F21" s="522"/>
      <c r="G21" s="3"/>
      <c r="H21" s="3"/>
    </row>
    <row r="22" spans="3:8" ht="12.75">
      <c r="C22" s="3"/>
      <c r="D22" s="522"/>
      <c r="E22" s="522"/>
      <c r="F22" s="522"/>
      <c r="G22" s="3"/>
      <c r="H22" s="3"/>
    </row>
    <row r="23" spans="3:8" ht="12.75">
      <c r="C23" s="3"/>
      <c r="D23" s="522"/>
      <c r="E23" s="522"/>
      <c r="F23" s="522"/>
      <c r="G23" s="3"/>
      <c r="H23" s="3"/>
    </row>
    <row r="24" spans="3:8" ht="12.75">
      <c r="C24" s="3"/>
      <c r="D24" s="522"/>
      <c r="E24" s="522"/>
      <c r="F24" s="522"/>
      <c r="G24" s="3"/>
      <c r="H24" s="3"/>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4"/>
  <sheetViews>
    <sheetView showGridLines="0" workbookViewId="0" topLeftCell="R1">
      <selection activeCell="V8" sqref="V8"/>
    </sheetView>
  </sheetViews>
  <sheetFormatPr defaultColWidth="10.28125" defaultRowHeight="17.25" customHeight="1"/>
  <cols>
    <col min="1" max="1" width="15.00390625" style="150" bestFit="1" customWidth="1"/>
    <col min="2" max="2" width="12.421875" style="156" customWidth="1"/>
    <col min="3" max="3" width="56.7109375" style="150" customWidth="1"/>
    <col min="4" max="5" width="2.140625" style="150" hidden="1" customWidth="1"/>
    <col min="6" max="6" width="19.00390625" style="169" customWidth="1"/>
    <col min="7" max="7" width="21.7109375" style="169" hidden="1" customWidth="1"/>
    <col min="8" max="8" width="22.7109375" style="162" bestFit="1" customWidth="1"/>
    <col min="9" max="9" width="21.00390625" style="170" customWidth="1"/>
    <col min="10" max="10" width="23.140625" style="150" customWidth="1"/>
    <col min="11" max="11" width="29.7109375" style="150" customWidth="1"/>
    <col min="12" max="12" width="7.8515625" style="150" bestFit="1" customWidth="1"/>
    <col min="13" max="13" width="15.7109375" style="150" bestFit="1" customWidth="1"/>
    <col min="14" max="14" width="13.57421875" style="150" bestFit="1" customWidth="1"/>
    <col min="15" max="18" width="13.140625" style="150" customWidth="1"/>
    <col min="19" max="19" width="8.8515625" style="150" bestFit="1" customWidth="1"/>
    <col min="20" max="20" width="56.421875" style="150" bestFit="1" customWidth="1"/>
    <col min="21" max="22" width="18.00390625" style="150" customWidth="1"/>
    <col min="23" max="23" width="23.7109375" style="150" bestFit="1" customWidth="1"/>
    <col min="24" max="24" width="15.28125" style="150" bestFit="1" customWidth="1"/>
    <col min="25" max="16384" width="13.140625" style="150" customWidth="1"/>
  </cols>
  <sheetData>
    <row r="1" spans="3:22" ht="26.25">
      <c r="C1" s="152"/>
      <c r="D1" s="152"/>
      <c r="E1" s="152"/>
      <c r="F1" s="152"/>
      <c r="G1" s="152"/>
      <c r="H1" s="153"/>
      <c r="I1" s="154"/>
      <c r="S1" s="1157" t="s">
        <v>728</v>
      </c>
      <c r="T1" s="1148"/>
      <c r="U1" s="1148"/>
      <c r="V1" s="1149"/>
    </row>
    <row r="2" spans="1:24" ht="19.5" thickBot="1">
      <c r="A2" s="155"/>
      <c r="C2" s="155"/>
      <c r="D2" s="157" t="s">
        <v>127</v>
      </c>
      <c r="E2" s="157" t="s">
        <v>127</v>
      </c>
      <c r="F2" s="157"/>
      <c r="G2" s="157"/>
      <c r="H2" s="158"/>
      <c r="I2" s="159"/>
      <c r="J2" s="157"/>
      <c r="K2" s="155"/>
      <c r="L2" s="155"/>
      <c r="M2" s="155"/>
      <c r="N2" s="155"/>
      <c r="S2" s="200"/>
      <c r="T2" s="174"/>
      <c r="U2" s="1150"/>
      <c r="V2" s="539"/>
      <c r="W2" s="157"/>
      <c r="X2" s="155"/>
    </row>
    <row r="3" spans="1:24" s="589" customFormat="1" ht="39.75" customHeight="1" thickBot="1">
      <c r="A3" s="584"/>
      <c r="B3" s="584"/>
      <c r="C3" s="584"/>
      <c r="D3" s="585" t="s">
        <v>128</v>
      </c>
      <c r="E3" s="585"/>
      <c r="F3" s="586" t="s">
        <v>128</v>
      </c>
      <c r="G3" s="585" t="s">
        <v>129</v>
      </c>
      <c r="H3" s="587" t="s">
        <v>130</v>
      </c>
      <c r="I3" s="588" t="s">
        <v>131</v>
      </c>
      <c r="J3" s="585" t="s">
        <v>132</v>
      </c>
      <c r="K3" s="161" t="s">
        <v>133</v>
      </c>
      <c r="L3" s="584"/>
      <c r="M3" s="584"/>
      <c r="N3" s="584"/>
      <c r="S3" s="1151"/>
      <c r="T3" s="590"/>
      <c r="U3" s="591" t="s">
        <v>701</v>
      </c>
      <c r="V3" s="1152" t="s">
        <v>130</v>
      </c>
      <c r="W3" s="585" t="s">
        <v>726</v>
      </c>
      <c r="X3" s="1147" t="s">
        <v>727</v>
      </c>
    </row>
    <row r="4" spans="1:24" ht="36" customHeight="1">
      <c r="A4" s="155"/>
      <c r="B4" s="195"/>
      <c r="C4" s="174"/>
      <c r="D4" s="175"/>
      <c r="E4" s="176"/>
      <c r="F4" s="175"/>
      <c r="G4" s="175"/>
      <c r="H4" s="205"/>
      <c r="I4" s="539"/>
      <c r="J4" s="166"/>
      <c r="K4" s="165"/>
      <c r="L4" s="155"/>
      <c r="N4" s="155"/>
      <c r="S4" s="1154" t="s">
        <v>136</v>
      </c>
      <c r="T4" s="174" t="s">
        <v>729</v>
      </c>
      <c r="U4" s="175">
        <v>39264</v>
      </c>
      <c r="V4" s="1153">
        <v>39203</v>
      </c>
      <c r="W4" s="166"/>
      <c r="X4" s="1146"/>
    </row>
    <row r="5" spans="1:24" ht="36" customHeight="1">
      <c r="A5" s="155"/>
      <c r="B5" s="195"/>
      <c r="C5" s="174"/>
      <c r="D5" s="175"/>
      <c r="E5" s="176"/>
      <c r="F5" s="175"/>
      <c r="G5" s="175"/>
      <c r="H5" s="205"/>
      <c r="I5" s="539"/>
      <c r="J5" s="166"/>
      <c r="K5" s="165"/>
      <c r="L5" s="155"/>
      <c r="N5" s="155"/>
      <c r="S5" s="1154" t="s">
        <v>136</v>
      </c>
      <c r="T5" s="174" t="s">
        <v>159</v>
      </c>
      <c r="U5" s="175">
        <v>39326</v>
      </c>
      <c r="V5" s="1153">
        <v>39234</v>
      </c>
      <c r="W5" s="166"/>
      <c r="X5" s="1146"/>
    </row>
    <row r="6" spans="1:25" ht="36" customHeight="1" thickBot="1">
      <c r="A6" s="155" t="s">
        <v>175</v>
      </c>
      <c r="B6" s="215"/>
      <c r="C6" s="216" t="s">
        <v>176</v>
      </c>
      <c r="D6" s="208">
        <f>DATE(108,5,30)</f>
        <v>39598</v>
      </c>
      <c r="E6" s="217">
        <f>(+F6-D6)/30</f>
        <v>14.233333333333333</v>
      </c>
      <c r="F6" s="208">
        <v>40025</v>
      </c>
      <c r="G6" s="208">
        <f>(+F6-H6)/30</f>
        <v>6.766666666666667</v>
      </c>
      <c r="H6" s="219">
        <v>39822</v>
      </c>
      <c r="I6" s="220"/>
      <c r="J6" s="186">
        <v>39871</v>
      </c>
      <c r="K6" s="173">
        <f>(+F6-J6)/30</f>
        <v>5.133333333333334</v>
      </c>
      <c r="L6" s="172"/>
      <c r="N6" s="155"/>
      <c r="S6" s="1154" t="s">
        <v>136</v>
      </c>
      <c r="T6" s="174" t="s">
        <v>161</v>
      </c>
      <c r="U6" s="175">
        <v>39537</v>
      </c>
      <c r="V6" s="1153">
        <f aca="true" t="shared" si="0" ref="V6:V12">+W6+(X6*30)</f>
        <v>39811</v>
      </c>
      <c r="W6" s="167">
        <v>39661</v>
      </c>
      <c r="X6" s="1146">
        <v>5</v>
      </c>
      <c r="Y6" s="150">
        <v>5</v>
      </c>
    </row>
    <row r="7" spans="1:25" ht="36" customHeight="1">
      <c r="A7" s="155" t="s">
        <v>135</v>
      </c>
      <c r="B7" s="187" t="s">
        <v>136</v>
      </c>
      <c r="C7" s="188" t="s">
        <v>137</v>
      </c>
      <c r="D7" s="189">
        <f>DATE(103,10,7)</f>
        <v>37901</v>
      </c>
      <c r="E7" s="190">
        <f>(+F7-D7)/30</f>
        <v>0</v>
      </c>
      <c r="F7" s="189">
        <v>37901</v>
      </c>
      <c r="G7" s="189"/>
      <c r="H7" s="540"/>
      <c r="I7" s="541">
        <f>DATE(103,10,7)</f>
        <v>37901</v>
      </c>
      <c r="J7" s="166"/>
      <c r="K7" s="165"/>
      <c r="L7" s="155"/>
      <c r="N7" s="155"/>
      <c r="S7" s="1154" t="s">
        <v>136</v>
      </c>
      <c r="T7" s="174" t="s">
        <v>164</v>
      </c>
      <c r="U7" s="175">
        <v>39675</v>
      </c>
      <c r="V7" s="1153">
        <f>+U7</f>
        <v>39675</v>
      </c>
      <c r="W7" s="167">
        <v>39433</v>
      </c>
      <c r="X7" s="1146">
        <v>6</v>
      </c>
      <c r="Y7" s="150">
        <v>5</v>
      </c>
    </row>
    <row r="8" spans="1:25" ht="36" customHeight="1">
      <c r="A8" s="155" t="s">
        <v>138</v>
      </c>
      <c r="B8" s="195"/>
      <c r="C8" s="174" t="s">
        <v>139</v>
      </c>
      <c r="D8" s="175">
        <f>DATE(103,11,18)</f>
        <v>37943</v>
      </c>
      <c r="E8" s="176">
        <f>(+F8-D8)/30</f>
        <v>0</v>
      </c>
      <c r="F8" s="175">
        <v>37943</v>
      </c>
      <c r="G8" s="175"/>
      <c r="H8" s="542"/>
      <c r="I8" s="539">
        <f>DATE(103,11,18)</f>
        <v>37943</v>
      </c>
      <c r="J8" s="167"/>
      <c r="K8" s="165"/>
      <c r="L8" s="155"/>
      <c r="N8" s="155"/>
      <c r="S8" s="1154" t="s">
        <v>136</v>
      </c>
      <c r="T8" s="174" t="s">
        <v>166</v>
      </c>
      <c r="U8" s="175">
        <v>39767</v>
      </c>
      <c r="V8" s="1153">
        <f t="shared" si="0"/>
        <v>40291</v>
      </c>
      <c r="W8" s="167">
        <v>40081</v>
      </c>
      <c r="X8" s="1146">
        <v>7</v>
      </c>
      <c r="Y8" s="150">
        <v>7</v>
      </c>
    </row>
    <row r="9" spans="1:25" ht="36" customHeight="1">
      <c r="A9" s="155" t="s">
        <v>140</v>
      </c>
      <c r="B9" s="195"/>
      <c r="C9" s="174" t="s">
        <v>141</v>
      </c>
      <c r="D9" s="175">
        <f>DATE(104,7,19)</f>
        <v>38187</v>
      </c>
      <c r="E9" s="176">
        <f>(+F9-D9)/30</f>
        <v>0</v>
      </c>
      <c r="F9" s="175">
        <v>38187</v>
      </c>
      <c r="G9" s="175"/>
      <c r="H9" s="542"/>
      <c r="I9" s="539">
        <f>DATE(104,5,19)</f>
        <v>38126</v>
      </c>
      <c r="J9" s="167"/>
      <c r="K9" s="165"/>
      <c r="L9" s="155"/>
      <c r="N9" s="155"/>
      <c r="S9" s="1154" t="s">
        <v>136</v>
      </c>
      <c r="T9" s="174" t="s">
        <v>168</v>
      </c>
      <c r="U9" s="175">
        <v>39855</v>
      </c>
      <c r="V9" s="1153">
        <f t="shared" si="0"/>
        <v>40523</v>
      </c>
      <c r="W9" s="167">
        <v>40283</v>
      </c>
      <c r="X9" s="1146">
        <v>8</v>
      </c>
      <c r="Y9" s="150">
        <v>8</v>
      </c>
    </row>
    <row r="10" spans="1:25" ht="36" customHeight="1">
      <c r="A10" s="155" t="s">
        <v>142</v>
      </c>
      <c r="B10" s="195"/>
      <c r="C10" s="174" t="s">
        <v>143</v>
      </c>
      <c r="D10" s="175">
        <f>DATE(104,7,19)</f>
        <v>38187</v>
      </c>
      <c r="E10" s="176">
        <f>(+F10-D10)/30</f>
        <v>0</v>
      </c>
      <c r="F10" s="175">
        <v>38187</v>
      </c>
      <c r="G10" s="175"/>
      <c r="H10" s="542"/>
      <c r="I10" s="539">
        <f>DATE(104,5,19)</f>
        <v>38126</v>
      </c>
      <c r="J10" s="167"/>
      <c r="K10" s="165"/>
      <c r="L10" s="155"/>
      <c r="N10" s="155"/>
      <c r="S10" s="1154" t="s">
        <v>136</v>
      </c>
      <c r="T10" s="174" t="s">
        <v>170</v>
      </c>
      <c r="U10" s="175">
        <v>39910</v>
      </c>
      <c r="V10" s="1153">
        <f t="shared" si="0"/>
        <v>40641</v>
      </c>
      <c r="W10" s="167">
        <v>40386</v>
      </c>
      <c r="X10" s="1146">
        <v>8.5</v>
      </c>
      <c r="Y10" s="150">
        <v>8.5</v>
      </c>
    </row>
    <row r="11" spans="1:25" ht="36" customHeight="1">
      <c r="A11" s="155" t="s">
        <v>144</v>
      </c>
      <c r="B11" s="195"/>
      <c r="C11" s="174" t="s">
        <v>145</v>
      </c>
      <c r="D11" s="175"/>
      <c r="E11" s="176"/>
      <c r="F11" s="175">
        <v>38340</v>
      </c>
      <c r="G11" s="175"/>
      <c r="H11" s="542"/>
      <c r="I11" s="539">
        <f>DATE(104,10,15)</f>
        <v>38275</v>
      </c>
      <c r="J11" s="167"/>
      <c r="K11" s="165"/>
      <c r="L11" s="155"/>
      <c r="N11" s="155"/>
      <c r="S11" s="1154" t="s">
        <v>136</v>
      </c>
      <c r="T11" s="174" t="s">
        <v>172</v>
      </c>
      <c r="U11" s="175">
        <v>39965</v>
      </c>
      <c r="V11" s="1153">
        <f t="shared" si="0"/>
        <v>40677</v>
      </c>
      <c r="W11" s="167">
        <v>40407</v>
      </c>
      <c r="X11" s="1146">
        <v>9</v>
      </c>
      <c r="Y11" s="150">
        <v>9</v>
      </c>
    </row>
    <row r="12" spans="1:25" ht="36" customHeight="1">
      <c r="A12" s="155" t="s">
        <v>146</v>
      </c>
      <c r="B12" s="195"/>
      <c r="C12" s="174" t="s">
        <v>147</v>
      </c>
      <c r="D12" s="175">
        <v>38322</v>
      </c>
      <c r="E12" s="176">
        <v>-2</v>
      </c>
      <c r="F12" s="175">
        <v>38275</v>
      </c>
      <c r="G12" s="214"/>
      <c r="H12" s="543"/>
      <c r="I12" s="539">
        <v>38245</v>
      </c>
      <c r="J12" s="167"/>
      <c r="K12" s="165"/>
      <c r="L12" s="155"/>
      <c r="N12" s="155"/>
      <c r="S12" s="1154" t="s">
        <v>136</v>
      </c>
      <c r="T12" s="174" t="s">
        <v>174</v>
      </c>
      <c r="U12" s="175">
        <v>39980</v>
      </c>
      <c r="V12" s="1153">
        <f t="shared" si="0"/>
        <v>40685</v>
      </c>
      <c r="W12" s="167">
        <v>40415</v>
      </c>
      <c r="X12" s="1146">
        <v>9</v>
      </c>
      <c r="Y12" s="150">
        <v>9</v>
      </c>
    </row>
    <row r="13" spans="1:25" ht="36" customHeight="1" thickBot="1">
      <c r="A13" s="155" t="s">
        <v>148</v>
      </c>
      <c r="B13" s="195"/>
      <c r="C13" s="174" t="s">
        <v>149</v>
      </c>
      <c r="D13" s="175">
        <v>38292</v>
      </c>
      <c r="E13" s="176">
        <v>-1</v>
      </c>
      <c r="F13" s="175">
        <v>38261</v>
      </c>
      <c r="G13" s="214"/>
      <c r="H13" s="542"/>
      <c r="I13" s="539">
        <v>38245</v>
      </c>
      <c r="J13" s="167"/>
      <c r="K13" s="165"/>
      <c r="L13" s="155"/>
      <c r="N13" s="155"/>
      <c r="S13" s="1155" t="s">
        <v>134</v>
      </c>
      <c r="T13" s="216" t="s">
        <v>176</v>
      </c>
      <c r="U13" s="208">
        <v>40025</v>
      </c>
      <c r="V13" s="1156">
        <f>+W13+(X13*30)</f>
        <v>40812</v>
      </c>
      <c r="W13" s="167">
        <v>40512</v>
      </c>
      <c r="X13" s="1146">
        <v>10</v>
      </c>
      <c r="Y13" s="150">
        <v>10</v>
      </c>
    </row>
    <row r="14" spans="1:24" ht="17.25" customHeight="1">
      <c r="A14" s="155" t="s">
        <v>150</v>
      </c>
      <c r="B14" s="195"/>
      <c r="C14" s="174" t="s">
        <v>151</v>
      </c>
      <c r="D14" s="175">
        <v>38412</v>
      </c>
      <c r="E14" s="176">
        <v>4</v>
      </c>
      <c r="F14" s="233">
        <v>38548</v>
      </c>
      <c r="G14" s="581">
        <f aca="true" t="shared" si="1" ref="G14:G26">(+F14-H14)/30</f>
        <v>1284.9333333333334</v>
      </c>
      <c r="H14" s="582"/>
      <c r="I14" s="583">
        <v>38625</v>
      </c>
      <c r="J14" s="167"/>
      <c r="K14" s="173"/>
      <c r="L14" s="172"/>
      <c r="N14" s="155"/>
      <c r="S14" s="593"/>
      <c r="V14" s="592"/>
      <c r="W14" s="167"/>
      <c r="X14" s="173"/>
    </row>
    <row r="15" spans="1:24" ht="17.25" customHeight="1">
      <c r="A15" s="155" t="s">
        <v>152</v>
      </c>
      <c r="B15" s="195"/>
      <c r="C15" s="174" t="s">
        <v>153</v>
      </c>
      <c r="D15" s="175">
        <v>38443</v>
      </c>
      <c r="E15" s="176">
        <v>3</v>
      </c>
      <c r="F15" s="175">
        <v>38625</v>
      </c>
      <c r="G15" s="214">
        <f t="shared" si="1"/>
        <v>1287.5</v>
      </c>
      <c r="H15" s="542"/>
      <c r="I15" s="539">
        <v>38533</v>
      </c>
      <c r="J15" s="180"/>
      <c r="K15" s="173"/>
      <c r="L15" s="172"/>
      <c r="N15" s="155"/>
      <c r="S15" s="195"/>
      <c r="V15" s="592"/>
      <c r="W15" s="180"/>
      <c r="X15" s="173"/>
    </row>
    <row r="16" spans="1:24" ht="22.5" customHeight="1">
      <c r="A16" s="155" t="s">
        <v>154</v>
      </c>
      <c r="B16" s="195"/>
      <c r="C16" s="174" t="s">
        <v>155</v>
      </c>
      <c r="D16" s="175">
        <v>38595</v>
      </c>
      <c r="E16" s="176">
        <v>6</v>
      </c>
      <c r="F16" s="175">
        <v>38805</v>
      </c>
      <c r="G16" s="175">
        <v>38822</v>
      </c>
      <c r="H16" s="212"/>
      <c r="I16" s="213">
        <v>38777</v>
      </c>
      <c r="J16" s="186">
        <v>38805</v>
      </c>
      <c r="K16" s="173">
        <f>(+F16-J16)/30</f>
        <v>0</v>
      </c>
      <c r="L16" s="172"/>
      <c r="N16" s="155"/>
      <c r="S16" s="195"/>
      <c r="V16" s="592"/>
      <c r="W16" s="167"/>
      <c r="X16" s="173"/>
    </row>
    <row r="17" spans="1:24" ht="17.25" customHeight="1">
      <c r="A17" s="155" t="s">
        <v>156</v>
      </c>
      <c r="B17" s="195"/>
      <c r="C17" s="174" t="s">
        <v>157</v>
      </c>
      <c r="D17" s="175">
        <v>38749</v>
      </c>
      <c r="E17" s="176">
        <v>0</v>
      </c>
      <c r="F17" s="175">
        <v>38975</v>
      </c>
      <c r="G17" s="214">
        <f t="shared" si="1"/>
        <v>1299.1666666666667</v>
      </c>
      <c r="H17" s="212"/>
      <c r="I17" s="213">
        <v>38961</v>
      </c>
      <c r="J17" s="186">
        <v>38797</v>
      </c>
      <c r="K17" s="173">
        <f>(+F17-H17)/30</f>
        <v>1299.1666666666667</v>
      </c>
      <c r="L17" s="172"/>
      <c r="N17" s="155"/>
      <c r="S17" s="195"/>
      <c r="V17" s="592"/>
      <c r="W17" s="167"/>
      <c r="X17" s="173"/>
    </row>
    <row r="18" spans="1:24" ht="17.25" customHeight="1">
      <c r="A18" s="155" t="s">
        <v>158</v>
      </c>
      <c r="B18" s="195"/>
      <c r="C18" s="174" t="s">
        <v>159</v>
      </c>
      <c r="D18" s="175">
        <v>38930</v>
      </c>
      <c r="E18" s="176">
        <v>4</v>
      </c>
      <c r="F18" s="175">
        <v>39326</v>
      </c>
      <c r="G18" s="214">
        <f t="shared" si="1"/>
        <v>3.1333333333333333</v>
      </c>
      <c r="H18" s="212">
        <v>39232</v>
      </c>
      <c r="I18" s="213"/>
      <c r="J18" s="186">
        <v>39141</v>
      </c>
      <c r="K18" s="173">
        <f aca="true" t="shared" si="2" ref="K18:K26">(+F18-H18)/30</f>
        <v>3.1333333333333333</v>
      </c>
      <c r="L18" s="172"/>
      <c r="N18" s="155"/>
      <c r="S18" s="195"/>
      <c r="V18" s="592"/>
      <c r="W18" s="167"/>
      <c r="X18" s="173"/>
    </row>
    <row r="19" spans="1:24" ht="17.25" customHeight="1">
      <c r="A19" s="155" t="s">
        <v>160</v>
      </c>
      <c r="B19" s="195"/>
      <c r="C19" s="174" t="s">
        <v>161</v>
      </c>
      <c r="D19" s="175">
        <v>38869</v>
      </c>
      <c r="E19" s="176">
        <v>7</v>
      </c>
      <c r="F19" s="175">
        <v>39537</v>
      </c>
      <c r="G19" s="214">
        <f t="shared" si="1"/>
        <v>7.566666666666666</v>
      </c>
      <c r="H19" s="212">
        <v>39310</v>
      </c>
      <c r="I19" s="213"/>
      <c r="J19" s="186">
        <v>39382</v>
      </c>
      <c r="K19" s="173">
        <f t="shared" si="2"/>
        <v>7.566666666666666</v>
      </c>
      <c r="L19" s="172"/>
      <c r="N19" s="155"/>
      <c r="S19" s="195"/>
      <c r="W19" s="167"/>
      <c r="X19" s="173"/>
    </row>
    <row r="20" spans="1:24" ht="17.25" customHeight="1">
      <c r="A20" s="181" t="s">
        <v>162</v>
      </c>
      <c r="B20" s="195"/>
      <c r="C20" s="174" t="s">
        <v>163</v>
      </c>
      <c r="D20" s="175">
        <v>38961</v>
      </c>
      <c r="E20" s="176">
        <v>6</v>
      </c>
      <c r="F20" s="175">
        <v>39264</v>
      </c>
      <c r="G20" s="214">
        <f t="shared" si="1"/>
        <v>-0.3333333333333333</v>
      </c>
      <c r="H20" s="212">
        <v>39274</v>
      </c>
      <c r="I20" s="213"/>
      <c r="J20" s="186">
        <v>39094</v>
      </c>
      <c r="K20" s="173">
        <f t="shared" si="2"/>
        <v>-0.3333333333333333</v>
      </c>
      <c r="L20" s="172"/>
      <c r="M20" s="165"/>
      <c r="N20" s="155"/>
      <c r="S20" s="195"/>
      <c r="W20" s="167"/>
      <c r="X20" s="173"/>
    </row>
    <row r="21" spans="1:24" ht="17.25" customHeight="1">
      <c r="A21" s="155" t="s">
        <v>193</v>
      </c>
      <c r="B21" s="195"/>
      <c r="C21" s="174" t="s">
        <v>164</v>
      </c>
      <c r="D21" s="175">
        <v>39083</v>
      </c>
      <c r="E21" s="176">
        <v>4</v>
      </c>
      <c r="F21" s="175">
        <v>39675</v>
      </c>
      <c r="G21" s="214">
        <f t="shared" si="1"/>
        <v>10.966666666666667</v>
      </c>
      <c r="H21" s="212">
        <v>39346</v>
      </c>
      <c r="I21" s="213"/>
      <c r="J21" s="186">
        <v>39405</v>
      </c>
      <c r="K21" s="173">
        <f t="shared" si="2"/>
        <v>10.966666666666667</v>
      </c>
      <c r="L21" s="172"/>
      <c r="N21" s="155"/>
      <c r="S21" s="195"/>
      <c r="W21" s="167"/>
      <c r="X21" s="173"/>
    </row>
    <row r="22" spans="1:24" ht="17.25" customHeight="1">
      <c r="A22" s="181" t="s">
        <v>165</v>
      </c>
      <c r="B22" s="195"/>
      <c r="C22" s="174" t="s">
        <v>166</v>
      </c>
      <c r="D22" s="175">
        <v>39234</v>
      </c>
      <c r="E22" s="176">
        <v>3</v>
      </c>
      <c r="F22" s="175">
        <v>39767</v>
      </c>
      <c r="G22" s="214">
        <f t="shared" si="1"/>
        <v>4.133333333333334</v>
      </c>
      <c r="H22" s="212">
        <v>39643</v>
      </c>
      <c r="I22" s="213"/>
      <c r="J22" s="186">
        <v>39611</v>
      </c>
      <c r="K22" s="173">
        <f t="shared" si="2"/>
        <v>4.133333333333334</v>
      </c>
      <c r="L22" s="172"/>
      <c r="N22" s="155"/>
      <c r="S22" s="195"/>
      <c r="W22" s="167"/>
      <c r="X22" s="173"/>
    </row>
    <row r="23" spans="1:24" ht="17.25" customHeight="1">
      <c r="A23" s="182" t="s">
        <v>167</v>
      </c>
      <c r="B23" s="195"/>
      <c r="C23" s="174" t="s">
        <v>168</v>
      </c>
      <c r="D23" s="175">
        <v>39326</v>
      </c>
      <c r="E23" s="176">
        <v>2</v>
      </c>
      <c r="F23" s="175">
        <v>39855</v>
      </c>
      <c r="G23" s="214">
        <f t="shared" si="1"/>
        <v>4.266666666666667</v>
      </c>
      <c r="H23" s="212">
        <v>39727</v>
      </c>
      <c r="I23" s="213"/>
      <c r="J23" s="186">
        <v>39702</v>
      </c>
      <c r="K23" s="173">
        <f t="shared" si="2"/>
        <v>4.266666666666667</v>
      </c>
      <c r="L23" s="172"/>
      <c r="M23" s="165"/>
      <c r="N23" s="155"/>
      <c r="S23" s="195"/>
      <c r="W23" s="167"/>
      <c r="X23" s="173"/>
    </row>
    <row r="24" spans="1:24" ht="17.25" customHeight="1">
      <c r="A24" s="182" t="s">
        <v>169</v>
      </c>
      <c r="B24" s="195"/>
      <c r="C24" s="174" t="s">
        <v>170</v>
      </c>
      <c r="D24" s="175">
        <v>39387</v>
      </c>
      <c r="E24" s="176">
        <v>2</v>
      </c>
      <c r="F24" s="175">
        <v>39910</v>
      </c>
      <c r="G24" s="214">
        <f t="shared" si="1"/>
        <v>4.8</v>
      </c>
      <c r="H24" s="212">
        <v>39766</v>
      </c>
      <c r="I24" s="213"/>
      <c r="J24" s="186">
        <v>39759</v>
      </c>
      <c r="K24" s="173">
        <f t="shared" si="2"/>
        <v>4.8</v>
      </c>
      <c r="L24" s="172"/>
      <c r="M24" s="165"/>
      <c r="N24" s="155"/>
      <c r="S24" s="195"/>
      <c r="W24" s="167"/>
      <c r="X24" s="173"/>
    </row>
    <row r="25" spans="1:24" ht="17.25" customHeight="1">
      <c r="A25" s="155" t="s">
        <v>171</v>
      </c>
      <c r="B25" s="195"/>
      <c r="C25" s="174" t="s">
        <v>172</v>
      </c>
      <c r="D25" s="175">
        <v>39387</v>
      </c>
      <c r="E25" s="176">
        <v>4</v>
      </c>
      <c r="F25" s="175">
        <v>39965</v>
      </c>
      <c r="G25" s="214">
        <f t="shared" si="1"/>
        <v>3.8666666666666667</v>
      </c>
      <c r="H25" s="212">
        <v>39849</v>
      </c>
      <c r="I25" s="213"/>
      <c r="J25" s="186">
        <v>39810</v>
      </c>
      <c r="K25" s="173">
        <f t="shared" si="2"/>
        <v>3.8666666666666667</v>
      </c>
      <c r="L25" s="172"/>
      <c r="M25" s="165"/>
      <c r="N25" s="155"/>
      <c r="S25" s="195"/>
      <c r="W25" s="167"/>
      <c r="X25" s="173"/>
    </row>
    <row r="26" spans="1:24" ht="19.5" thickBot="1">
      <c r="A26" s="155" t="s">
        <v>173</v>
      </c>
      <c r="B26" s="215"/>
      <c r="C26" s="216" t="s">
        <v>174</v>
      </c>
      <c r="D26" s="208">
        <v>39538</v>
      </c>
      <c r="E26" s="217">
        <v>0</v>
      </c>
      <c r="F26" s="208">
        <v>39980</v>
      </c>
      <c r="G26" s="218">
        <f t="shared" si="1"/>
        <v>4.366666666666666</v>
      </c>
      <c r="H26" s="219">
        <v>39849</v>
      </c>
      <c r="I26" s="220"/>
      <c r="J26" s="186">
        <v>39783</v>
      </c>
      <c r="K26" s="173">
        <f t="shared" si="2"/>
        <v>4.366666666666666</v>
      </c>
      <c r="L26" s="172"/>
      <c r="M26" s="165"/>
      <c r="N26" s="155"/>
      <c r="S26" s="215"/>
      <c r="W26" s="167"/>
      <c r="X26" s="173"/>
    </row>
    <row r="27" spans="1:14" ht="19.5" thickBot="1">
      <c r="A27" s="155"/>
      <c r="B27" s="160"/>
      <c r="C27" s="155"/>
      <c r="D27" s="166"/>
      <c r="E27" s="163"/>
      <c r="F27" s="166"/>
      <c r="G27" s="168"/>
      <c r="H27" s="158"/>
      <c r="I27" s="164"/>
      <c r="J27" s="167"/>
      <c r="K27" s="173">
        <f>(+F27-J27)/30</f>
        <v>0</v>
      </c>
      <c r="L27" s="155"/>
      <c r="M27" s="165"/>
      <c r="N27" s="155"/>
    </row>
    <row r="28" spans="1:14" ht="18.75">
      <c r="A28" s="155" t="s">
        <v>177</v>
      </c>
      <c r="B28" s="187" t="s">
        <v>178</v>
      </c>
      <c r="C28" s="188" t="s">
        <v>179</v>
      </c>
      <c r="D28" s="189">
        <f>DATE(103,12,20)</f>
        <v>37975</v>
      </c>
      <c r="E28" s="190">
        <f aca="true" t="shared" si="3" ref="E28:E35">(+F28-D28)/30</f>
        <v>0.3333333333333333</v>
      </c>
      <c r="F28" s="191">
        <v>37985</v>
      </c>
      <c r="G28" s="192"/>
      <c r="H28" s="193"/>
      <c r="I28" s="194">
        <f>DATE(103,10,20)</f>
        <v>37914</v>
      </c>
      <c r="J28" s="167"/>
      <c r="K28" s="173"/>
      <c r="L28" s="155"/>
      <c r="N28" s="155"/>
    </row>
    <row r="29" spans="1:14" ht="18.75">
      <c r="A29" s="155" t="s">
        <v>180</v>
      </c>
      <c r="B29" s="195"/>
      <c r="C29" s="174" t="s">
        <v>181</v>
      </c>
      <c r="D29" s="196">
        <v>38047</v>
      </c>
      <c r="E29" s="176">
        <f t="shared" si="3"/>
        <v>1</v>
      </c>
      <c r="F29" s="197">
        <v>38077</v>
      </c>
      <c r="G29" s="178"/>
      <c r="H29" s="198"/>
      <c r="I29" s="199">
        <f>DATE(104,1,30)</f>
        <v>38016</v>
      </c>
      <c r="J29" s="171"/>
      <c r="K29" s="173"/>
      <c r="L29" s="155"/>
      <c r="M29" s="165"/>
      <c r="N29" s="155"/>
    </row>
    <row r="30" spans="1:14" ht="18.75">
      <c r="A30" s="155" t="s">
        <v>182</v>
      </c>
      <c r="B30" s="195"/>
      <c r="C30" s="174" t="s">
        <v>183</v>
      </c>
      <c r="D30" s="196">
        <v>38139</v>
      </c>
      <c r="E30" s="176">
        <f t="shared" si="3"/>
        <v>0.9666666666666667</v>
      </c>
      <c r="F30" s="197">
        <v>38168</v>
      </c>
      <c r="G30" s="178"/>
      <c r="H30" s="198"/>
      <c r="I30" s="199">
        <f>DATE(104,5,26)</f>
        <v>38133</v>
      </c>
      <c r="J30" s="171"/>
      <c r="K30" s="173"/>
      <c r="L30" s="155"/>
      <c r="N30" s="155"/>
    </row>
    <row r="31" spans="1:14" ht="18.75">
      <c r="A31" s="155" t="s">
        <v>184</v>
      </c>
      <c r="B31" s="195"/>
      <c r="C31" s="174" t="s">
        <v>185</v>
      </c>
      <c r="D31" s="175">
        <v>38231</v>
      </c>
      <c r="E31" s="176">
        <f t="shared" si="3"/>
        <v>0.9666666666666667</v>
      </c>
      <c r="F31" s="177">
        <v>38260</v>
      </c>
      <c r="G31" s="178"/>
      <c r="H31" s="179"/>
      <c r="I31" s="199">
        <f>DATE(104,9,15)</f>
        <v>38245</v>
      </c>
      <c r="J31" s="167"/>
      <c r="K31" s="173"/>
      <c r="L31" s="155"/>
      <c r="N31" s="155"/>
    </row>
    <row r="32" spans="1:11" ht="18.75">
      <c r="A32" s="183" t="s">
        <v>144</v>
      </c>
      <c r="B32" s="200"/>
      <c r="C32" s="174" t="s">
        <v>186</v>
      </c>
      <c r="D32" s="201"/>
      <c r="E32" s="176">
        <f t="shared" si="3"/>
        <v>1278.3666666666666</v>
      </c>
      <c r="F32" s="177">
        <v>38351</v>
      </c>
      <c r="G32" s="178">
        <f>(+F32-I32)/30</f>
        <v>2.533333333333333</v>
      </c>
      <c r="H32" s="198"/>
      <c r="I32" s="199">
        <f>DATE(104,10,15)</f>
        <v>38275</v>
      </c>
      <c r="J32" s="167"/>
      <c r="K32" s="173"/>
    </row>
    <row r="33" spans="1:11" ht="18.75">
      <c r="A33" s="183" t="s">
        <v>187</v>
      </c>
      <c r="B33" s="200"/>
      <c r="C33" s="174" t="s">
        <v>188</v>
      </c>
      <c r="D33" s="201"/>
      <c r="E33" s="176">
        <f t="shared" si="3"/>
        <v>1281.4</v>
      </c>
      <c r="F33" s="197">
        <v>38442</v>
      </c>
      <c r="G33" s="178">
        <f>(+F33-H33)/30</f>
        <v>1281.4</v>
      </c>
      <c r="H33" s="179"/>
      <c r="I33" s="199">
        <v>38441</v>
      </c>
      <c r="J33" s="184"/>
      <c r="K33" s="173"/>
    </row>
    <row r="34" spans="1:11" ht="18.75">
      <c r="A34" s="183" t="s">
        <v>189</v>
      </c>
      <c r="B34" s="200"/>
      <c r="C34" s="174" t="s">
        <v>190</v>
      </c>
      <c r="D34" s="201"/>
      <c r="E34" s="176">
        <f t="shared" si="3"/>
        <v>1284.4333333333334</v>
      </c>
      <c r="F34" s="197">
        <v>38533</v>
      </c>
      <c r="G34" s="178">
        <f>(+F34-H34)/30</f>
        <v>1284.4333333333334</v>
      </c>
      <c r="H34" s="198"/>
      <c r="I34" s="202">
        <f>+F34</f>
        <v>38533</v>
      </c>
      <c r="J34" s="184"/>
      <c r="K34" s="173"/>
    </row>
    <row r="35" spans="1:11" ht="18.75">
      <c r="A35" s="150" t="s">
        <v>191</v>
      </c>
      <c r="B35" s="200"/>
      <c r="C35" s="174" t="s">
        <v>192</v>
      </c>
      <c r="D35" s="201"/>
      <c r="E35" s="176">
        <f t="shared" si="3"/>
        <v>1287.5</v>
      </c>
      <c r="F35" s="233">
        <v>38625</v>
      </c>
      <c r="G35" s="233">
        <v>38656</v>
      </c>
      <c r="H35" s="234"/>
      <c r="I35" s="235">
        <v>38687</v>
      </c>
      <c r="J35" s="184">
        <v>38701</v>
      </c>
      <c r="K35" s="173">
        <f>(+F35-J35)/30</f>
        <v>-2.533333333333333</v>
      </c>
    </row>
    <row r="36" spans="1:11" ht="18.75">
      <c r="A36" s="150" t="s">
        <v>195</v>
      </c>
      <c r="B36" s="200"/>
      <c r="C36" s="201" t="s">
        <v>221</v>
      </c>
      <c r="D36" s="201"/>
      <c r="E36" s="201"/>
      <c r="F36" s="175">
        <v>38990</v>
      </c>
      <c r="G36" s="204"/>
      <c r="H36" s="205">
        <v>38838</v>
      </c>
      <c r="I36" s="203"/>
      <c r="J36" s="184">
        <v>38798</v>
      </c>
      <c r="K36" s="173">
        <f>(+F36-J36)/30</f>
        <v>6.4</v>
      </c>
    </row>
    <row r="37" spans="1:11" ht="19.5" thickBot="1">
      <c r="A37" s="150" t="s">
        <v>194</v>
      </c>
      <c r="B37" s="206"/>
      <c r="C37" s="207" t="s">
        <v>196</v>
      </c>
      <c r="D37" s="207"/>
      <c r="E37" s="207"/>
      <c r="F37" s="208">
        <v>39355</v>
      </c>
      <c r="G37" s="209"/>
      <c r="H37" s="210">
        <v>39052</v>
      </c>
      <c r="I37" s="211"/>
      <c r="J37" s="184">
        <v>39027</v>
      </c>
      <c r="K37" s="173">
        <f>(+F37-J37)/30</f>
        <v>10.933333333333334</v>
      </c>
    </row>
    <row r="38" ht="18.75">
      <c r="H38" s="185"/>
    </row>
    <row r="39" ht="18.75">
      <c r="H39" s="185"/>
    </row>
    <row r="40" ht="17.25" customHeight="1">
      <c r="H40" s="185"/>
    </row>
    <row r="41" ht="17.25" customHeight="1">
      <c r="H41" s="185"/>
    </row>
    <row r="42" ht="17.25" customHeight="1">
      <c r="H42" s="185"/>
    </row>
    <row r="43" ht="17.25" customHeight="1">
      <c r="H43" s="185"/>
    </row>
    <row r="44" ht="17.25" customHeight="1">
      <c r="B44" s="151" t="s">
        <v>126</v>
      </c>
    </row>
  </sheetData>
  <printOptions gridLines="1"/>
  <pageMargins left="0.75" right="0.75" top="1" bottom="1" header="0.5" footer="0.5"/>
  <pageSetup fitToHeight="1" fitToWidth="1" horizontalDpi="600" verticalDpi="600" orientation="landscape" scale="86" r:id="rId1"/>
  <headerFooter alignWithMargins="0">
    <oddFooter xml:space="preserve">&amp;R&amp;F      &amp;A      &amp;D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F28"/>
  <sheetViews>
    <sheetView workbookViewId="0" topLeftCell="A1">
      <selection activeCell="A1" sqref="A1:IV16384"/>
    </sheetView>
  </sheetViews>
  <sheetFormatPr defaultColWidth="9.140625" defaultRowHeight="15" customHeight="1"/>
  <cols>
    <col min="1" max="1" width="2.57421875" style="1043" customWidth="1"/>
    <col min="2" max="2" width="1.57421875" style="658" customWidth="1"/>
    <col min="3" max="3" width="10.28125" style="658" hidden="1" customWidth="1"/>
    <col min="4" max="4" width="8.421875" style="658" hidden="1" customWidth="1"/>
    <col min="5" max="5" width="8.00390625" style="658" bestFit="1" customWidth="1"/>
    <col min="6" max="16" width="5.57421875" style="658" customWidth="1"/>
    <col min="17" max="21" width="5.7109375" style="658" customWidth="1"/>
    <col min="22" max="29" width="5.57421875" style="658" customWidth="1"/>
    <col min="30" max="32" width="5.28125" style="658" customWidth="1"/>
    <col min="33" max="16384" width="8.421875" style="658" customWidth="1"/>
  </cols>
  <sheetData>
    <row r="1" spans="2:31" s="1019" customFormat="1" ht="24" customHeight="1">
      <c r="B1" s="1020"/>
      <c r="C1" s="1020"/>
      <c r="D1" s="1020"/>
      <c r="E1" s="1021"/>
      <c r="F1" s="1022"/>
      <c r="G1" s="1023" t="s">
        <v>72</v>
      </c>
      <c r="H1" s="1022"/>
      <c r="I1" s="1022"/>
      <c r="J1" s="1022"/>
      <c r="K1" s="1022"/>
      <c r="L1" s="1022"/>
      <c r="M1" s="1022"/>
      <c r="N1" s="1022"/>
      <c r="O1" s="1022"/>
      <c r="P1" s="1022"/>
      <c r="Q1" s="1022"/>
      <c r="R1" s="1022"/>
      <c r="S1" s="1022"/>
      <c r="T1" s="1022"/>
      <c r="U1" s="1022"/>
      <c r="V1" s="1022"/>
      <c r="W1" s="1022"/>
      <c r="X1" s="1022"/>
      <c r="Y1" s="1022"/>
      <c r="Z1" s="1022"/>
      <c r="AA1" s="1022"/>
      <c r="AB1" s="1022"/>
      <c r="AC1" s="1024"/>
      <c r="AD1" s="1024"/>
      <c r="AE1" s="1025"/>
    </row>
    <row r="2" spans="1:31" s="921" customFormat="1" ht="15" customHeight="1">
      <c r="A2" s="1026"/>
      <c r="B2" s="920"/>
      <c r="C2" s="920"/>
      <c r="D2" s="920"/>
      <c r="E2" s="1027"/>
      <c r="F2" s="1028"/>
      <c r="G2" s="1028"/>
      <c r="H2" s="1028" t="s">
        <v>209</v>
      </c>
      <c r="I2" s="1028"/>
      <c r="J2" s="1028"/>
      <c r="K2" s="920"/>
      <c r="L2" s="920"/>
      <c r="M2" s="1028" t="s">
        <v>128</v>
      </c>
      <c r="N2" s="920"/>
      <c r="O2" s="920"/>
      <c r="P2" s="920"/>
      <c r="Q2" s="920" t="s">
        <v>445</v>
      </c>
      <c r="R2" s="920"/>
      <c r="S2" s="920"/>
      <c r="T2" s="920"/>
      <c r="U2" s="920"/>
      <c r="V2" s="920"/>
      <c r="W2" s="920"/>
      <c r="X2" s="920"/>
      <c r="Y2" s="920"/>
      <c r="Z2" s="920"/>
      <c r="AA2" s="920"/>
      <c r="AB2" s="920"/>
      <c r="AC2" s="920"/>
      <c r="AD2" s="920"/>
      <c r="AE2" s="1029"/>
    </row>
    <row r="3" spans="2:31" s="921" customFormat="1" ht="15" customHeight="1">
      <c r="B3" s="920"/>
      <c r="C3" s="920"/>
      <c r="D3" s="920"/>
      <c r="E3" s="1030"/>
      <c r="F3" s="920"/>
      <c r="G3" s="920"/>
      <c r="H3" s="920"/>
      <c r="I3" s="920"/>
      <c r="J3" s="920"/>
      <c r="K3" s="920"/>
      <c r="L3" s="920"/>
      <c r="M3" s="920"/>
      <c r="N3" s="911"/>
      <c r="O3" s="920"/>
      <c r="P3" s="920"/>
      <c r="Q3" s="920"/>
      <c r="R3" s="920"/>
      <c r="S3" s="920"/>
      <c r="T3" s="920"/>
      <c r="U3" s="920"/>
      <c r="V3" s="920"/>
      <c r="W3" s="920"/>
      <c r="X3" s="920"/>
      <c r="Y3" s="920"/>
      <c r="Z3" s="920"/>
      <c r="AA3" s="920"/>
      <c r="AB3" s="920"/>
      <c r="AC3" s="920"/>
      <c r="AD3" s="920"/>
      <c r="AE3" s="1029"/>
    </row>
    <row r="4" spans="5:31" s="921" customFormat="1" ht="15" customHeight="1" thickBot="1">
      <c r="E4" s="1027"/>
      <c r="F4" s="920"/>
      <c r="G4" s="920"/>
      <c r="H4" s="920"/>
      <c r="I4" s="920"/>
      <c r="J4" s="920"/>
      <c r="K4" s="920"/>
      <c r="L4" s="920"/>
      <c r="M4" s="920"/>
      <c r="N4" s="920"/>
      <c r="O4" s="911"/>
      <c r="P4" s="911"/>
      <c r="Q4" s="920"/>
      <c r="R4" s="920"/>
      <c r="S4" s="920"/>
      <c r="T4" s="920"/>
      <c r="U4" s="920"/>
      <c r="V4" s="920"/>
      <c r="W4" s="920"/>
      <c r="X4" s="920"/>
      <c r="Y4" s="920"/>
      <c r="Z4" s="920"/>
      <c r="AA4" s="920"/>
      <c r="AB4" s="920"/>
      <c r="AC4" s="920"/>
      <c r="AD4" s="920"/>
      <c r="AE4" s="1029"/>
    </row>
    <row r="5" spans="1:31" s="921" customFormat="1" ht="15" customHeight="1" thickBot="1">
      <c r="A5" s="1026"/>
      <c r="B5" s="920"/>
      <c r="C5" s="920"/>
      <c r="D5" s="920"/>
      <c r="E5" s="1031"/>
      <c r="F5" s="1032"/>
      <c r="G5" s="1032"/>
      <c r="H5" s="1032"/>
      <c r="I5" s="1033"/>
      <c r="J5" s="1031">
        <v>2006</v>
      </c>
      <c r="K5" s="1032"/>
      <c r="L5" s="1032"/>
      <c r="M5" s="1032"/>
      <c r="N5" s="1032"/>
      <c r="O5" s="1032"/>
      <c r="P5" s="1032"/>
      <c r="Q5" s="1032"/>
      <c r="R5" s="1032"/>
      <c r="S5" s="1032"/>
      <c r="T5" s="1032"/>
      <c r="U5" s="1032"/>
      <c r="V5" s="1031">
        <v>2007</v>
      </c>
      <c r="W5" s="1032"/>
      <c r="X5" s="1032"/>
      <c r="Y5" s="1032"/>
      <c r="Z5" s="1032"/>
      <c r="AA5" s="1032"/>
      <c r="AB5" s="1032"/>
      <c r="AC5" s="1032"/>
      <c r="AD5" s="1034"/>
      <c r="AE5" s="1034"/>
    </row>
    <row r="6" spans="1:32" s="1036" customFormat="1" ht="36.75" customHeight="1" thickBot="1">
      <c r="A6" s="1035"/>
      <c r="C6" s="1037">
        <v>38353</v>
      </c>
      <c r="D6" s="1038">
        <v>38384</v>
      </c>
      <c r="E6" s="1039" t="s">
        <v>208</v>
      </c>
      <c r="F6" s="1037">
        <v>38596</v>
      </c>
      <c r="G6" s="1037">
        <v>38626</v>
      </c>
      <c r="H6" s="1037">
        <v>38657</v>
      </c>
      <c r="I6" s="1037">
        <v>38687</v>
      </c>
      <c r="J6" s="1037">
        <v>38718</v>
      </c>
      <c r="K6" s="1037">
        <v>38749</v>
      </c>
      <c r="L6" s="1037">
        <v>38777</v>
      </c>
      <c r="M6" s="1037">
        <v>38808</v>
      </c>
      <c r="N6" s="1037">
        <v>38838</v>
      </c>
      <c r="O6" s="1037">
        <v>38869</v>
      </c>
      <c r="P6" s="1037">
        <v>38899</v>
      </c>
      <c r="Q6" s="1037">
        <v>38930</v>
      </c>
      <c r="R6" s="1037">
        <v>38961</v>
      </c>
      <c r="S6" s="1037">
        <v>38991</v>
      </c>
      <c r="T6" s="1038">
        <v>39022</v>
      </c>
      <c r="U6" s="1037">
        <v>39052</v>
      </c>
      <c r="V6" s="1040">
        <v>39083</v>
      </c>
      <c r="W6" s="1040">
        <v>39114</v>
      </c>
      <c r="X6" s="1040">
        <v>39142</v>
      </c>
      <c r="Y6" s="1040">
        <v>39173</v>
      </c>
      <c r="Z6" s="1041">
        <v>39203</v>
      </c>
      <c r="AA6" s="1037">
        <v>39234</v>
      </c>
      <c r="AB6" s="1037">
        <v>39264</v>
      </c>
      <c r="AC6" s="1037">
        <v>39295</v>
      </c>
      <c r="AD6" s="1037" t="s">
        <v>73</v>
      </c>
      <c r="AE6" s="1037" t="s">
        <v>74</v>
      </c>
      <c r="AF6" s="1042"/>
    </row>
    <row r="7" spans="2:31" ht="15" customHeight="1">
      <c r="B7" s="653"/>
      <c r="C7" s="653"/>
      <c r="D7" s="653"/>
      <c r="E7" s="1044"/>
      <c r="F7" s="1045"/>
      <c r="G7" s="1046"/>
      <c r="H7" s="1047"/>
      <c r="I7" s="1047"/>
      <c r="J7" s="1047"/>
      <c r="K7" s="1047"/>
      <c r="L7" s="1047"/>
      <c r="M7" s="1047"/>
      <c r="N7" s="1048"/>
      <c r="O7" s="1045"/>
      <c r="P7" s="1045"/>
      <c r="Q7" s="1045"/>
      <c r="R7" s="1045"/>
      <c r="S7" s="1045"/>
      <c r="T7" s="1045"/>
      <c r="U7" s="1045"/>
      <c r="V7" s="1045"/>
      <c r="W7" s="1045"/>
      <c r="X7" s="1045"/>
      <c r="Y7" s="1045"/>
      <c r="Z7" s="1045"/>
      <c r="AA7" s="1049"/>
      <c r="AB7" s="1050"/>
      <c r="AC7" s="1050"/>
      <c r="AD7" s="1050"/>
      <c r="AE7" s="1051"/>
    </row>
    <row r="8" spans="1:31" ht="28.5" customHeight="1">
      <c r="A8" s="1052"/>
      <c r="B8" s="653"/>
      <c r="C8" s="653"/>
      <c r="D8" s="653"/>
      <c r="E8" s="1053" t="s">
        <v>54</v>
      </c>
      <c r="F8" s="1047"/>
      <c r="G8" s="1054"/>
      <c r="H8" s="1055"/>
      <c r="I8" s="1055"/>
      <c r="J8" s="1055"/>
      <c r="K8" s="1056"/>
      <c r="L8" s="1056"/>
      <c r="M8" s="1056"/>
      <c r="N8" s="1057"/>
      <c r="O8" s="1056"/>
      <c r="P8" s="1056"/>
      <c r="Q8" s="1056"/>
      <c r="R8" s="1056"/>
      <c r="S8" s="1056"/>
      <c r="T8" s="1056"/>
      <c r="U8" s="1056"/>
      <c r="V8" s="1056"/>
      <c r="W8" s="1056"/>
      <c r="X8" s="1056"/>
      <c r="Y8" s="1056"/>
      <c r="Z8" s="1056"/>
      <c r="AA8" s="1058"/>
      <c r="AB8" s="1059"/>
      <c r="AC8" s="1059"/>
      <c r="AD8" s="1060"/>
      <c r="AE8" s="1051"/>
    </row>
    <row r="9" spans="1:31" ht="28.5" customHeight="1">
      <c r="A9" s="1052"/>
      <c r="B9" s="653"/>
      <c r="C9" s="653"/>
      <c r="D9" s="653"/>
      <c r="E9" s="1053" t="s">
        <v>59</v>
      </c>
      <c r="F9" s="1047"/>
      <c r="G9" s="858"/>
      <c r="H9" s="1061"/>
      <c r="I9" s="1055"/>
      <c r="J9" s="1062"/>
      <c r="K9" s="1056"/>
      <c r="L9" s="1057"/>
      <c r="M9" s="1056"/>
      <c r="N9" s="1057"/>
      <c r="O9" s="1056"/>
      <c r="P9" s="1056"/>
      <c r="Q9" s="1056"/>
      <c r="R9" s="1056"/>
      <c r="S9" s="1056"/>
      <c r="T9" s="1056"/>
      <c r="U9" s="1056"/>
      <c r="V9" s="1056"/>
      <c r="W9" s="1056"/>
      <c r="X9" s="1056"/>
      <c r="Y9" s="1056"/>
      <c r="Z9" s="1056"/>
      <c r="AA9" s="1058"/>
      <c r="AB9" s="1059"/>
      <c r="AC9" s="1059"/>
      <c r="AD9" s="1060"/>
      <c r="AE9" s="1051"/>
    </row>
    <row r="10" spans="1:31" ht="28.5" customHeight="1">
      <c r="A10" s="1052"/>
      <c r="B10" s="653"/>
      <c r="C10" s="653"/>
      <c r="D10" s="653"/>
      <c r="E10" s="1053" t="s">
        <v>60</v>
      </c>
      <c r="F10" s="1047"/>
      <c r="G10" s="1062"/>
      <c r="H10" s="1055"/>
      <c r="I10" s="1061"/>
      <c r="J10" s="1055"/>
      <c r="K10" s="1056"/>
      <c r="L10" s="1056"/>
      <c r="M10" s="1056"/>
      <c r="N10" s="1057"/>
      <c r="O10" s="1056"/>
      <c r="P10" s="1056"/>
      <c r="Q10" s="1056"/>
      <c r="R10" s="1056"/>
      <c r="S10" s="1056"/>
      <c r="T10" s="1056"/>
      <c r="U10" s="1056"/>
      <c r="V10" s="1056"/>
      <c r="W10" s="1056"/>
      <c r="X10" s="1056"/>
      <c r="Y10" s="1056"/>
      <c r="Z10" s="1056"/>
      <c r="AA10" s="1058"/>
      <c r="AB10" s="1059"/>
      <c r="AC10" s="1059"/>
      <c r="AD10" s="1060"/>
      <c r="AE10" s="1051"/>
    </row>
    <row r="11" spans="1:31" ht="28.5" customHeight="1">
      <c r="A11" s="1052"/>
      <c r="B11" s="653"/>
      <c r="C11" s="653"/>
      <c r="D11" s="653"/>
      <c r="E11" s="1053" t="s">
        <v>61</v>
      </c>
      <c r="F11" s="1047"/>
      <c r="G11" s="1062"/>
      <c r="H11" s="1055"/>
      <c r="I11" s="1055"/>
      <c r="J11" s="1055"/>
      <c r="K11" s="1055"/>
      <c r="L11" s="1055"/>
      <c r="M11" s="1055"/>
      <c r="N11" s="1063"/>
      <c r="O11" s="1055"/>
      <c r="P11" s="1055"/>
      <c r="Q11" s="1055"/>
      <c r="R11" s="1056"/>
      <c r="S11" s="1056"/>
      <c r="T11" s="1056"/>
      <c r="U11" s="1056"/>
      <c r="V11" s="1056"/>
      <c r="W11" s="1056"/>
      <c r="X11" s="1056"/>
      <c r="Y11" s="1056"/>
      <c r="Z11" s="1056"/>
      <c r="AA11" s="1058"/>
      <c r="AB11" s="1059"/>
      <c r="AC11" s="1059"/>
      <c r="AD11" s="1060"/>
      <c r="AE11" s="1051"/>
    </row>
    <row r="12" spans="1:31" ht="28.5" customHeight="1">
      <c r="A12" s="1052"/>
      <c r="B12" s="653"/>
      <c r="C12" s="653"/>
      <c r="D12" s="653"/>
      <c r="E12" s="1053" t="s">
        <v>62</v>
      </c>
      <c r="F12" s="1047"/>
      <c r="G12" s="1064"/>
      <c r="H12" s="1056"/>
      <c r="I12" s="1056"/>
      <c r="J12" s="1055"/>
      <c r="K12" s="1055"/>
      <c r="L12" s="1065"/>
      <c r="M12" s="1055"/>
      <c r="N12" s="1063"/>
      <c r="O12" s="1055"/>
      <c r="P12" s="1055"/>
      <c r="Q12" s="1055"/>
      <c r="R12" s="1056"/>
      <c r="S12" s="1056"/>
      <c r="T12" s="1056"/>
      <c r="U12" s="1056"/>
      <c r="V12" s="1056"/>
      <c r="W12" s="1056"/>
      <c r="X12" s="1056"/>
      <c r="Y12" s="1056"/>
      <c r="Z12" s="1056"/>
      <c r="AA12" s="1058"/>
      <c r="AB12" s="1059"/>
      <c r="AC12" s="1059"/>
      <c r="AD12" s="1060"/>
      <c r="AE12" s="1051"/>
    </row>
    <row r="13" spans="1:31" ht="28.5" customHeight="1">
      <c r="A13" s="1052"/>
      <c r="B13" s="653"/>
      <c r="C13" s="653"/>
      <c r="D13" s="653"/>
      <c r="E13" s="1053" t="s">
        <v>64</v>
      </c>
      <c r="F13" s="1047"/>
      <c r="G13" s="1064"/>
      <c r="H13" s="1056"/>
      <c r="I13" s="1056"/>
      <c r="J13" s="1055"/>
      <c r="K13" s="1055"/>
      <c r="L13" s="1055"/>
      <c r="M13" s="1065"/>
      <c r="N13" s="1063"/>
      <c r="O13" s="1055"/>
      <c r="P13" s="1055"/>
      <c r="Q13" s="1055"/>
      <c r="R13" s="1056"/>
      <c r="S13" s="1056"/>
      <c r="T13" s="1056"/>
      <c r="U13" s="1056"/>
      <c r="V13" s="1056"/>
      <c r="W13" s="1056"/>
      <c r="X13" s="1056"/>
      <c r="Y13" s="1056"/>
      <c r="Z13" s="1056"/>
      <c r="AA13" s="1058"/>
      <c r="AB13" s="1059"/>
      <c r="AC13" s="1059"/>
      <c r="AD13" s="1060"/>
      <c r="AE13" s="1051"/>
    </row>
    <row r="14" spans="1:31" ht="28.5" customHeight="1">
      <c r="A14" s="1052"/>
      <c r="B14" s="653"/>
      <c r="C14" s="653"/>
      <c r="D14" s="653"/>
      <c r="E14" s="1053" t="s">
        <v>69</v>
      </c>
      <c r="F14" s="1047"/>
      <c r="G14" s="1064"/>
      <c r="H14" s="1056"/>
      <c r="I14" s="1056"/>
      <c r="J14" s="1055"/>
      <c r="K14" s="1055"/>
      <c r="L14" s="1055"/>
      <c r="M14" s="1055"/>
      <c r="N14" s="1066"/>
      <c r="O14" s="1055"/>
      <c r="P14" s="1055"/>
      <c r="Q14" s="1055"/>
      <c r="R14" s="1056"/>
      <c r="S14" s="1056"/>
      <c r="T14" s="1056"/>
      <c r="U14" s="1056"/>
      <c r="V14" s="1056"/>
      <c r="W14" s="1056"/>
      <c r="X14" s="1056"/>
      <c r="Y14" s="1056"/>
      <c r="Z14" s="1056"/>
      <c r="AA14" s="1058"/>
      <c r="AB14" s="1059"/>
      <c r="AC14" s="1059"/>
      <c r="AD14" s="1060"/>
      <c r="AE14" s="1051"/>
    </row>
    <row r="15" spans="1:31" ht="28.5" customHeight="1">
      <c r="A15" s="1052"/>
      <c r="B15" s="653"/>
      <c r="C15" s="653"/>
      <c r="D15" s="653"/>
      <c r="E15" s="1053" t="s">
        <v>65</v>
      </c>
      <c r="F15" s="1047"/>
      <c r="G15" s="1064"/>
      <c r="H15" s="1056"/>
      <c r="I15" s="1056"/>
      <c r="J15" s="1055"/>
      <c r="K15" s="1055"/>
      <c r="L15" s="1055"/>
      <c r="M15" s="1055"/>
      <c r="N15" s="1063"/>
      <c r="O15" s="1065"/>
      <c r="P15" s="1067"/>
      <c r="Q15" s="1067"/>
      <c r="R15" s="1056"/>
      <c r="S15" s="1056"/>
      <c r="T15" s="1056"/>
      <c r="U15" s="1056"/>
      <c r="V15" s="1056"/>
      <c r="W15" s="1056"/>
      <c r="X15" s="1056"/>
      <c r="Y15" s="1056"/>
      <c r="Z15" s="1056"/>
      <c r="AA15" s="1058"/>
      <c r="AB15" s="1059"/>
      <c r="AC15" s="1059"/>
      <c r="AD15" s="1060"/>
      <c r="AE15" s="1051"/>
    </row>
    <row r="16" spans="1:31" ht="28.5" customHeight="1">
      <c r="A16" s="1052"/>
      <c r="B16" s="653"/>
      <c r="C16" s="653"/>
      <c r="D16" s="653"/>
      <c r="E16" s="1053" t="s">
        <v>70</v>
      </c>
      <c r="F16" s="1047"/>
      <c r="G16" s="1056"/>
      <c r="H16" s="1056"/>
      <c r="I16" s="1064"/>
      <c r="J16" s="1055"/>
      <c r="K16" s="1063"/>
      <c r="L16" s="1055"/>
      <c r="M16" s="1055"/>
      <c r="N16" s="1055"/>
      <c r="O16" s="1055"/>
      <c r="P16" s="1061"/>
      <c r="Q16" s="1067"/>
      <c r="R16" s="1056"/>
      <c r="S16" s="1056"/>
      <c r="T16" s="1056"/>
      <c r="U16" s="1056"/>
      <c r="V16" s="1056"/>
      <c r="W16" s="1056"/>
      <c r="X16" s="1056"/>
      <c r="Y16" s="1056"/>
      <c r="Z16" s="1056"/>
      <c r="AA16" s="1058"/>
      <c r="AB16" s="1059"/>
      <c r="AC16" s="1059"/>
      <c r="AD16" s="1060"/>
      <c r="AE16" s="1051"/>
    </row>
    <row r="17" spans="1:31" ht="28.5" customHeight="1">
      <c r="A17" s="1052"/>
      <c r="B17" s="653"/>
      <c r="C17" s="653"/>
      <c r="D17" s="653"/>
      <c r="E17" s="1053" t="s">
        <v>66</v>
      </c>
      <c r="F17" s="1047"/>
      <c r="G17" s="1056"/>
      <c r="H17" s="1056"/>
      <c r="I17" s="1056"/>
      <c r="J17" s="1055"/>
      <c r="K17" s="1055"/>
      <c r="L17" s="1055"/>
      <c r="M17" s="1055"/>
      <c r="N17" s="1055"/>
      <c r="O17" s="1055"/>
      <c r="P17" s="1067"/>
      <c r="Q17" s="1061"/>
      <c r="R17" s="1056"/>
      <c r="S17" s="1056"/>
      <c r="T17" s="1056"/>
      <c r="U17" s="1056"/>
      <c r="V17" s="1056"/>
      <c r="W17" s="1056"/>
      <c r="X17" s="1056"/>
      <c r="Y17" s="1056"/>
      <c r="Z17" s="1056"/>
      <c r="AA17" s="1058"/>
      <c r="AB17" s="1059"/>
      <c r="AC17" s="1059"/>
      <c r="AD17" s="1060"/>
      <c r="AE17" s="1051"/>
    </row>
    <row r="18" spans="1:31" ht="28.5" customHeight="1">
      <c r="A18" s="1052"/>
      <c r="B18" s="653"/>
      <c r="C18" s="653"/>
      <c r="D18" s="653"/>
      <c r="E18" s="1053" t="s">
        <v>71</v>
      </c>
      <c r="F18" s="1047"/>
      <c r="G18" s="1056"/>
      <c r="H18" s="1056"/>
      <c r="I18" s="1056"/>
      <c r="J18" s="1056"/>
      <c r="K18" s="1056"/>
      <c r="L18" s="1056"/>
      <c r="M18" s="1056"/>
      <c r="N18" s="1056"/>
      <c r="O18" s="1056"/>
      <c r="P18" s="1056"/>
      <c r="Q18" s="1056"/>
      <c r="R18" s="1056"/>
      <c r="S18" s="1065"/>
      <c r="T18" s="1056"/>
      <c r="U18" s="1056"/>
      <c r="V18" s="1056"/>
      <c r="W18" s="1056"/>
      <c r="X18" s="1056"/>
      <c r="Y18" s="1056"/>
      <c r="Z18" s="1056"/>
      <c r="AA18" s="1058"/>
      <c r="AB18" s="1059"/>
      <c r="AC18" s="1059"/>
      <c r="AD18" s="1060"/>
      <c r="AE18" s="1051"/>
    </row>
    <row r="19" spans="1:31" ht="28.5" customHeight="1">
      <c r="A19" s="1052"/>
      <c r="B19" s="653"/>
      <c r="C19" s="653"/>
      <c r="D19" s="653"/>
      <c r="E19" s="1053" t="s">
        <v>58</v>
      </c>
      <c r="F19" s="1047"/>
      <c r="G19" s="1056"/>
      <c r="H19" s="1056"/>
      <c r="I19" s="1056"/>
      <c r="J19" s="1056"/>
      <c r="K19" s="1056"/>
      <c r="L19" s="1056"/>
      <c r="M19" s="1056"/>
      <c r="N19" s="1056"/>
      <c r="O19" s="1056"/>
      <c r="P19" s="1056"/>
      <c r="Q19" s="1056"/>
      <c r="R19" s="1056"/>
      <c r="S19" s="1056"/>
      <c r="T19" s="1067"/>
      <c r="U19" s="1056"/>
      <c r="V19" s="1056"/>
      <c r="W19" s="1056"/>
      <c r="X19" s="1056"/>
      <c r="Y19" s="1056"/>
      <c r="Z19" s="1056"/>
      <c r="AA19" s="1058"/>
      <c r="AB19" s="1059"/>
      <c r="AC19" s="1059"/>
      <c r="AD19" s="1060"/>
      <c r="AE19" s="1051"/>
    </row>
    <row r="20" spans="1:31" ht="28.5" customHeight="1">
      <c r="A20" s="1052"/>
      <c r="B20" s="653"/>
      <c r="C20" s="653"/>
      <c r="D20" s="653"/>
      <c r="E20" s="1053" t="s">
        <v>57</v>
      </c>
      <c r="F20" s="1047"/>
      <c r="G20" s="1056"/>
      <c r="H20" s="1056"/>
      <c r="I20" s="1056"/>
      <c r="J20" s="1056"/>
      <c r="K20" s="1056"/>
      <c r="L20" s="1056"/>
      <c r="M20" s="1056"/>
      <c r="N20" s="1056"/>
      <c r="O20" s="1056"/>
      <c r="P20" s="1056"/>
      <c r="Q20" s="1056"/>
      <c r="R20" s="1056"/>
      <c r="S20" s="1056"/>
      <c r="T20" s="1056"/>
      <c r="U20" s="1056"/>
      <c r="V20" s="1056"/>
      <c r="W20" s="1067"/>
      <c r="X20" s="1056"/>
      <c r="Y20" s="1056"/>
      <c r="Z20" s="1056"/>
      <c r="AA20" s="1058"/>
      <c r="AB20" s="1059"/>
      <c r="AC20" s="1059"/>
      <c r="AD20" s="1060"/>
      <c r="AE20" s="1051"/>
    </row>
    <row r="21" spans="1:31" ht="28.5" customHeight="1">
      <c r="A21" s="1052"/>
      <c r="B21" s="653"/>
      <c r="C21" s="653"/>
      <c r="D21" s="653"/>
      <c r="E21" s="1053" t="s">
        <v>56</v>
      </c>
      <c r="F21" s="1047"/>
      <c r="G21" s="1056"/>
      <c r="H21" s="1056"/>
      <c r="I21" s="1056"/>
      <c r="J21" s="1056"/>
      <c r="K21" s="1056"/>
      <c r="L21" s="1056"/>
      <c r="M21" s="1056"/>
      <c r="N21" s="1056"/>
      <c r="O21" s="1056"/>
      <c r="P21" s="1056"/>
      <c r="Q21" s="1056"/>
      <c r="R21" s="1056"/>
      <c r="S21" s="1056"/>
      <c r="T21" s="1056"/>
      <c r="U21" s="1056"/>
      <c r="V21" s="1056"/>
      <c r="W21" s="1061"/>
      <c r="X21" s="1056"/>
      <c r="Y21" s="1056"/>
      <c r="Z21" s="1056"/>
      <c r="AA21" s="1058"/>
      <c r="AB21" s="1059"/>
      <c r="AC21" s="1059"/>
      <c r="AD21" s="1060"/>
      <c r="AE21" s="1051"/>
    </row>
    <row r="22" spans="1:31" ht="28.5" customHeight="1">
      <c r="A22" s="1052"/>
      <c r="B22" s="653"/>
      <c r="C22" s="653"/>
      <c r="D22" s="653"/>
      <c r="E22" s="1053" t="s">
        <v>55</v>
      </c>
      <c r="F22" s="1047"/>
      <c r="G22" s="1056"/>
      <c r="H22" s="1056"/>
      <c r="I22" s="1056"/>
      <c r="J22" s="1056"/>
      <c r="K22" s="1056"/>
      <c r="L22" s="1056"/>
      <c r="M22" s="1056"/>
      <c r="N22" s="1056"/>
      <c r="O22" s="1056"/>
      <c r="P22" s="1056"/>
      <c r="Q22" s="1056"/>
      <c r="R22" s="1056"/>
      <c r="S22" s="1056"/>
      <c r="T22" s="1056"/>
      <c r="U22" s="1056"/>
      <c r="V22" s="1056"/>
      <c r="W22" s="1056"/>
      <c r="X22" s="1056"/>
      <c r="Y22" s="1056"/>
      <c r="Z22" s="1067"/>
      <c r="AA22" s="1058"/>
      <c r="AB22" s="1059"/>
      <c r="AC22" s="1059"/>
      <c r="AD22" s="1060"/>
      <c r="AE22" s="1051"/>
    </row>
    <row r="23" spans="1:31" ht="28.5" customHeight="1">
      <c r="A23" s="1052"/>
      <c r="B23" s="653"/>
      <c r="C23" s="653"/>
      <c r="D23" s="653"/>
      <c r="E23" s="1053" t="s">
        <v>67</v>
      </c>
      <c r="F23" s="1047"/>
      <c r="G23" s="1056"/>
      <c r="H23" s="1056"/>
      <c r="I23" s="1056"/>
      <c r="J23" s="1056"/>
      <c r="K23" s="1056"/>
      <c r="L23" s="1056"/>
      <c r="M23" s="1056"/>
      <c r="N23" s="1056"/>
      <c r="O23" s="1056"/>
      <c r="P23" s="1056"/>
      <c r="Q23" s="1056"/>
      <c r="R23" s="1056"/>
      <c r="S23" s="1056"/>
      <c r="T23" s="1056"/>
      <c r="U23" s="1056"/>
      <c r="V23" s="1056"/>
      <c r="W23" s="1056"/>
      <c r="X23" s="1056"/>
      <c r="Y23" s="1056"/>
      <c r="Z23" s="1061"/>
      <c r="AA23" s="1058"/>
      <c r="AB23" s="1059"/>
      <c r="AC23" s="1059"/>
      <c r="AD23" s="1060"/>
      <c r="AE23" s="1051"/>
    </row>
    <row r="24" spans="1:31" ht="28.5" customHeight="1">
      <c r="A24" s="1052"/>
      <c r="B24" s="653"/>
      <c r="C24" s="653"/>
      <c r="D24" s="653"/>
      <c r="E24" s="1053" t="s">
        <v>68</v>
      </c>
      <c r="F24" s="1047"/>
      <c r="G24" s="1056"/>
      <c r="H24" s="1056"/>
      <c r="I24" s="1056"/>
      <c r="J24" s="1056"/>
      <c r="K24" s="1056"/>
      <c r="L24" s="1056"/>
      <c r="M24" s="1056"/>
      <c r="N24" s="1056"/>
      <c r="O24" s="1056"/>
      <c r="P24" s="1056"/>
      <c r="Q24" s="1056"/>
      <c r="R24" s="1056"/>
      <c r="S24" s="1056"/>
      <c r="T24" s="1056"/>
      <c r="U24" s="1056"/>
      <c r="V24" s="1056"/>
      <c r="W24" s="1056"/>
      <c r="X24" s="1056"/>
      <c r="Y24" s="1056"/>
      <c r="Z24" s="1056"/>
      <c r="AA24" s="1068"/>
      <c r="AB24" s="1069"/>
      <c r="AC24" s="1059"/>
      <c r="AD24" s="1060"/>
      <c r="AE24" s="1051"/>
    </row>
    <row r="25" spans="1:31" ht="28.5" customHeight="1" thickBot="1">
      <c r="A25" s="1052"/>
      <c r="B25" s="653"/>
      <c r="C25" s="653"/>
      <c r="D25" s="653"/>
      <c r="E25" s="1070" t="s">
        <v>63</v>
      </c>
      <c r="F25" s="1071"/>
      <c r="G25" s="1072"/>
      <c r="H25" s="1072"/>
      <c r="I25" s="1072"/>
      <c r="J25" s="1072"/>
      <c r="K25" s="1072"/>
      <c r="L25" s="1072"/>
      <c r="M25" s="1072"/>
      <c r="N25" s="1072"/>
      <c r="O25" s="1072"/>
      <c r="P25" s="1072"/>
      <c r="Q25" s="1072"/>
      <c r="R25" s="1072"/>
      <c r="S25" s="1072"/>
      <c r="T25" s="1072"/>
      <c r="U25" s="1072"/>
      <c r="V25" s="1072"/>
      <c r="W25" s="1072"/>
      <c r="X25" s="1072"/>
      <c r="Y25" s="1072"/>
      <c r="Z25" s="1072"/>
      <c r="AA25" s="1073"/>
      <c r="AB25" s="1074"/>
      <c r="AC25" s="1075"/>
      <c r="AD25" s="1076"/>
      <c r="AE25" s="1077"/>
    </row>
    <row r="26" spans="1:11" ht="9.75" customHeight="1" thickBot="1">
      <c r="A26" s="129"/>
      <c r="B26" s="653"/>
      <c r="C26" s="653"/>
      <c r="D26" s="653"/>
      <c r="E26" s="653"/>
      <c r="F26" s="653"/>
      <c r="G26" s="653"/>
      <c r="H26" s="653"/>
      <c r="I26" s="653"/>
      <c r="J26" s="653"/>
      <c r="K26" s="653"/>
    </row>
    <row r="27" spans="1:31" s="921" customFormat="1" ht="15" customHeight="1" thickBot="1">
      <c r="A27" s="1026"/>
      <c r="B27" s="920"/>
      <c r="C27" s="920"/>
      <c r="D27" s="920"/>
      <c r="E27" s="1031">
        <v>2005</v>
      </c>
      <c r="F27" s="1032"/>
      <c r="G27" s="1032"/>
      <c r="H27" s="1032"/>
      <c r="I27" s="1033"/>
      <c r="J27" s="1031">
        <v>2006</v>
      </c>
      <c r="K27" s="1032"/>
      <c r="L27" s="1032"/>
      <c r="M27" s="1032"/>
      <c r="N27" s="1032"/>
      <c r="O27" s="1032"/>
      <c r="P27" s="1032"/>
      <c r="Q27" s="1032"/>
      <c r="R27" s="1032"/>
      <c r="S27" s="1032"/>
      <c r="T27" s="1032"/>
      <c r="U27" s="1032"/>
      <c r="V27" s="1031">
        <v>2007</v>
      </c>
      <c r="W27" s="1032"/>
      <c r="X27" s="1032"/>
      <c r="Y27" s="1032"/>
      <c r="Z27" s="1032"/>
      <c r="AA27" s="1032"/>
      <c r="AB27" s="1032"/>
      <c r="AC27" s="1032"/>
      <c r="AD27" s="1034"/>
      <c r="AE27" s="1034"/>
    </row>
    <row r="28" spans="1:32" s="1036" customFormat="1" ht="28.5" customHeight="1" thickBot="1">
      <c r="A28" s="1035"/>
      <c r="C28" s="1037">
        <v>38353</v>
      </c>
      <c r="D28" s="1038">
        <v>38384</v>
      </c>
      <c r="E28" s="1037">
        <v>38412</v>
      </c>
      <c r="F28" s="1037">
        <v>38596</v>
      </c>
      <c r="G28" s="1037">
        <v>38626</v>
      </c>
      <c r="H28" s="1037">
        <v>38657</v>
      </c>
      <c r="I28" s="1037">
        <v>38687</v>
      </c>
      <c r="J28" s="1037">
        <v>38718</v>
      </c>
      <c r="K28" s="1037">
        <v>38749</v>
      </c>
      <c r="L28" s="1037">
        <v>38777</v>
      </c>
      <c r="M28" s="1037">
        <v>38808</v>
      </c>
      <c r="N28" s="1037">
        <v>38838</v>
      </c>
      <c r="O28" s="1037">
        <v>38869</v>
      </c>
      <c r="P28" s="1037">
        <v>38899</v>
      </c>
      <c r="Q28" s="1037">
        <v>38930</v>
      </c>
      <c r="R28" s="1037">
        <v>38961</v>
      </c>
      <c r="S28" s="1037">
        <v>38991</v>
      </c>
      <c r="T28" s="1038">
        <v>39022</v>
      </c>
      <c r="U28" s="1037">
        <v>39052</v>
      </c>
      <c r="V28" s="1040">
        <v>39083</v>
      </c>
      <c r="W28" s="1040">
        <v>39114</v>
      </c>
      <c r="X28" s="1040">
        <v>39142</v>
      </c>
      <c r="Y28" s="1040">
        <v>39173</v>
      </c>
      <c r="Z28" s="1041">
        <v>39203</v>
      </c>
      <c r="AA28" s="1037">
        <v>39234</v>
      </c>
      <c r="AB28" s="1037">
        <v>39264</v>
      </c>
      <c r="AC28" s="1037">
        <v>39295</v>
      </c>
      <c r="AD28" s="1037" t="s">
        <v>73</v>
      </c>
      <c r="AE28" s="1037" t="s">
        <v>74</v>
      </c>
      <c r="AF28" s="1078" t="s">
        <v>75</v>
      </c>
    </row>
  </sheetData>
  <printOptions/>
  <pageMargins left="0.39" right="0.21" top="0.89" bottom="0.47" header="0.5" footer="0.27"/>
  <pageSetup fitToHeight="1" fitToWidth="1" horizontalDpi="600" verticalDpi="600" orientation="landscape" scale="80" r:id="rId2"/>
  <headerFooter alignWithMargins="0">
    <oddFooter>&amp;R&amp;F                   &amp;A      &amp;D   &amp;T</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EM380"/>
  <sheetViews>
    <sheetView tabSelected="1" zoomScale="75" zoomScaleNormal="75" workbookViewId="0" topLeftCell="A1">
      <selection activeCell="DS78" sqref="I2:DS78"/>
    </sheetView>
  </sheetViews>
  <sheetFormatPr defaultColWidth="9.140625" defaultRowHeight="12.75"/>
  <cols>
    <col min="1" max="1" width="48.140625" style="24" customWidth="1"/>
    <col min="2" max="3" width="0.9921875" style="24" customWidth="1"/>
    <col min="4" max="44" width="1.1484375" style="24" customWidth="1"/>
    <col min="45" max="59" width="0.85546875" style="24" customWidth="1"/>
    <col min="60" max="66" width="2.421875" style="24" customWidth="1"/>
    <col min="67" max="67" width="2.28125" style="24" customWidth="1"/>
    <col min="68" max="92" width="2.140625" style="24" customWidth="1"/>
    <col min="93" max="94" width="2.140625" style="25" customWidth="1"/>
    <col min="95" max="105" width="2.140625" style="24" customWidth="1"/>
    <col min="106" max="107" width="2.140625" style="25" customWidth="1"/>
    <col min="108" max="117" width="2.140625" style="24" customWidth="1"/>
    <col min="118" max="118" width="2.140625" style="25" customWidth="1"/>
    <col min="119" max="119" width="2.140625" style="24" customWidth="1"/>
    <col min="120" max="16384" width="2.28125" style="24" customWidth="1"/>
  </cols>
  <sheetData>
    <row r="1" ht="15" thickBot="1"/>
    <row r="2" spans="1:123" ht="4.5" customHeight="1">
      <c r="A2" s="25"/>
      <c r="B2" s="25"/>
      <c r="C2" s="25"/>
      <c r="D2" s="25"/>
      <c r="E2" s="25"/>
      <c r="F2" s="25"/>
      <c r="G2" s="25"/>
      <c r="H2" s="25"/>
      <c r="I2" s="26"/>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8"/>
    </row>
    <row r="3" spans="1:123" s="30" customFormat="1" ht="18.75" customHeight="1">
      <c r="A3" s="29"/>
      <c r="B3" s="29"/>
      <c r="C3" s="29"/>
      <c r="D3" s="29"/>
      <c r="E3" s="29"/>
      <c r="F3" s="29"/>
      <c r="G3" s="29"/>
      <c r="H3" s="29"/>
      <c r="I3" s="1113" t="s">
        <v>12</v>
      </c>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c r="AL3" s="1114"/>
      <c r="AM3" s="1114"/>
      <c r="AN3" s="1114"/>
      <c r="AO3" s="1114"/>
      <c r="AP3" s="1114"/>
      <c r="AQ3" s="1114"/>
      <c r="AR3" s="1114"/>
      <c r="AS3" s="1114"/>
      <c r="AT3" s="1114"/>
      <c r="AU3" s="1114"/>
      <c r="AV3" s="1114"/>
      <c r="AW3" s="1114"/>
      <c r="AX3" s="1114"/>
      <c r="AY3" s="1114"/>
      <c r="AZ3" s="1114"/>
      <c r="BA3" s="1114"/>
      <c r="BB3" s="1114"/>
      <c r="BC3" s="1114"/>
      <c r="BD3" s="1114"/>
      <c r="BE3" s="1114"/>
      <c r="BF3" s="1114"/>
      <c r="BG3" s="1114"/>
      <c r="BH3" s="1114"/>
      <c r="BI3" s="1114"/>
      <c r="BJ3" s="1114"/>
      <c r="BK3" s="1114"/>
      <c r="BL3" s="1114"/>
      <c r="BM3" s="1114"/>
      <c r="BN3" s="1114"/>
      <c r="BO3" s="1114"/>
      <c r="BP3" s="1114"/>
      <c r="BQ3" s="1114"/>
      <c r="BR3" s="1114"/>
      <c r="BS3" s="1114"/>
      <c r="BT3" s="1114"/>
      <c r="BU3" s="1114"/>
      <c r="BV3" s="1114"/>
      <c r="BW3" s="1114"/>
      <c r="BX3" s="1114"/>
      <c r="BY3" s="1114"/>
      <c r="BZ3" s="1114"/>
      <c r="CA3" s="1114"/>
      <c r="CB3" s="1114"/>
      <c r="CC3" s="1115"/>
      <c r="CD3" s="1115"/>
      <c r="CE3" s="1115"/>
      <c r="CF3" s="1115"/>
      <c r="CG3" s="1115"/>
      <c r="CH3" s="1115"/>
      <c r="CI3" s="1115"/>
      <c r="CJ3" s="1115"/>
      <c r="CK3" s="1115"/>
      <c r="CL3" s="1115"/>
      <c r="CM3" s="1115"/>
      <c r="CN3" s="1115"/>
      <c r="CO3" s="1115"/>
      <c r="CP3" s="1115"/>
      <c r="CQ3" s="1115"/>
      <c r="CR3" s="1115"/>
      <c r="CS3" s="1115"/>
      <c r="CT3" s="1115"/>
      <c r="CU3" s="1115"/>
      <c r="CV3" s="1115"/>
      <c r="CW3" s="1115"/>
      <c r="CX3" s="1115"/>
      <c r="CY3" s="1115"/>
      <c r="CZ3" s="1115"/>
      <c r="DA3" s="1115"/>
      <c r="DB3" s="1115"/>
      <c r="DC3" s="1115"/>
      <c r="DD3" s="1115"/>
      <c r="DE3" s="1115"/>
      <c r="DF3" s="1115"/>
      <c r="DG3" s="1115"/>
      <c r="DH3" s="1115"/>
      <c r="DI3" s="1115"/>
      <c r="DJ3" s="1115"/>
      <c r="DK3" s="1115"/>
      <c r="DL3" s="1115"/>
      <c r="DM3" s="1115"/>
      <c r="DN3" s="1115"/>
      <c r="DO3" s="1115"/>
      <c r="DP3" s="1115"/>
      <c r="DQ3" s="29"/>
      <c r="DR3" s="29"/>
      <c r="DS3" s="1169"/>
    </row>
    <row r="4" spans="2:123" ht="3" customHeight="1">
      <c r="B4" s="25"/>
      <c r="C4" s="25"/>
      <c r="D4" s="25"/>
      <c r="E4" s="25"/>
      <c r="F4" s="25"/>
      <c r="G4" s="25"/>
      <c r="H4" s="25"/>
      <c r="I4" s="31"/>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Q4" s="25"/>
      <c r="CR4" s="25"/>
      <c r="CS4" s="25"/>
      <c r="CT4" s="25"/>
      <c r="CU4" s="25"/>
      <c r="CV4" s="25"/>
      <c r="CW4" s="25"/>
      <c r="CX4" s="25"/>
      <c r="CY4" s="25"/>
      <c r="CZ4" s="25"/>
      <c r="DA4" s="25"/>
      <c r="DD4" s="25"/>
      <c r="DE4" s="25"/>
      <c r="DF4" s="25"/>
      <c r="DG4" s="25"/>
      <c r="DH4" s="25"/>
      <c r="DI4" s="25"/>
      <c r="DJ4" s="25"/>
      <c r="DK4" s="25"/>
      <c r="DL4" s="25"/>
      <c r="DM4" s="25"/>
      <c r="DO4" s="25"/>
      <c r="DP4" s="25"/>
      <c r="DQ4" s="25"/>
      <c r="DR4" s="25"/>
      <c r="DS4" s="32"/>
    </row>
    <row r="5" spans="2:123" ht="3" customHeight="1" thickBot="1">
      <c r="B5" s="25"/>
      <c r="C5" s="25"/>
      <c r="D5" s="25"/>
      <c r="E5" s="25"/>
      <c r="F5" s="25"/>
      <c r="G5" s="25"/>
      <c r="H5" s="25"/>
      <c r="I5" s="1111"/>
      <c r="J5" s="1112"/>
      <c r="K5" s="1112"/>
      <c r="L5" s="1112"/>
      <c r="M5" s="1112"/>
      <c r="N5" s="1112"/>
      <c r="O5" s="1112"/>
      <c r="P5" s="1112"/>
      <c r="Q5" s="1112"/>
      <c r="R5" s="1112"/>
      <c r="S5" s="1112"/>
      <c r="T5" s="1112"/>
      <c r="U5" s="1112"/>
      <c r="V5" s="1112"/>
      <c r="W5" s="1112"/>
      <c r="X5" s="1112"/>
      <c r="Y5" s="1112"/>
      <c r="Z5" s="1112"/>
      <c r="AA5" s="1112"/>
      <c r="AB5" s="1112"/>
      <c r="AC5" s="1112"/>
      <c r="AD5" s="1112"/>
      <c r="AE5" s="1112"/>
      <c r="AF5" s="1112"/>
      <c r="AG5" s="1112"/>
      <c r="AH5" s="1112"/>
      <c r="AI5" s="1112"/>
      <c r="AJ5" s="1112"/>
      <c r="AK5" s="1112"/>
      <c r="AL5" s="1112"/>
      <c r="AM5" s="1112"/>
      <c r="AN5" s="1112"/>
      <c r="AO5" s="1112"/>
      <c r="AP5" s="1112"/>
      <c r="AQ5" s="1112"/>
      <c r="AR5" s="1112"/>
      <c r="AS5" s="1112"/>
      <c r="AT5" s="1112"/>
      <c r="AU5" s="1112"/>
      <c r="AV5" s="1112"/>
      <c r="AW5" s="1112"/>
      <c r="AX5" s="1112"/>
      <c r="AY5" s="1112"/>
      <c r="AZ5" s="1112"/>
      <c r="BA5" s="1112"/>
      <c r="BB5" s="1112"/>
      <c r="BC5" s="1112"/>
      <c r="BD5" s="1112"/>
      <c r="BE5" s="1112"/>
      <c r="BF5" s="1112"/>
      <c r="BG5" s="1112"/>
      <c r="BH5" s="1112"/>
      <c r="BI5" s="1112"/>
      <c r="BJ5" s="1112"/>
      <c r="BK5" s="1112"/>
      <c r="BL5" s="1112"/>
      <c r="BM5" s="1112"/>
      <c r="BN5" s="1112"/>
      <c r="BO5" s="1112"/>
      <c r="BP5" s="1112"/>
      <c r="BQ5" s="1112"/>
      <c r="BR5" s="1112"/>
      <c r="BS5" s="1112"/>
      <c r="BT5" s="1112"/>
      <c r="BU5" s="1112"/>
      <c r="BV5" s="1112"/>
      <c r="BW5" s="1112"/>
      <c r="BX5" s="1112"/>
      <c r="BY5" s="1112"/>
      <c r="BZ5" s="1112"/>
      <c r="CA5" s="1112"/>
      <c r="CB5" s="1112"/>
      <c r="CC5" s="1112"/>
      <c r="CD5" s="1112"/>
      <c r="CE5" s="1112"/>
      <c r="CF5" s="1112"/>
      <c r="CG5" s="1112"/>
      <c r="CH5" s="1112"/>
      <c r="CI5" s="1112"/>
      <c r="CJ5" s="1112"/>
      <c r="CK5" s="1112"/>
      <c r="CL5" s="1112"/>
      <c r="CM5" s="1112"/>
      <c r="CN5" s="1112"/>
      <c r="CO5" s="1112"/>
      <c r="CP5" s="1112"/>
      <c r="CQ5" s="1112"/>
      <c r="CR5" s="25"/>
      <c r="CS5" s="25"/>
      <c r="CT5" s="25"/>
      <c r="CU5" s="25"/>
      <c r="CV5" s="25"/>
      <c r="CW5" s="25"/>
      <c r="CX5" s="25"/>
      <c r="CY5" s="25"/>
      <c r="CZ5" s="25"/>
      <c r="DA5" s="25"/>
      <c r="DD5" s="25"/>
      <c r="DE5" s="25"/>
      <c r="DF5" s="25"/>
      <c r="DG5" s="25"/>
      <c r="DH5" s="25"/>
      <c r="DI5" s="25"/>
      <c r="DJ5" s="25"/>
      <c r="DK5" s="25"/>
      <c r="DL5" s="25"/>
      <c r="DM5" s="25"/>
      <c r="DO5" s="25"/>
      <c r="DP5" s="25"/>
      <c r="DQ5" s="25"/>
      <c r="DR5" s="25"/>
      <c r="DS5" s="32"/>
    </row>
    <row r="6" spans="2:123" ht="15" thickBot="1">
      <c r="B6" s="25"/>
      <c r="C6" s="26"/>
      <c r="D6" s="1087" t="s">
        <v>13</v>
      </c>
      <c r="E6" s="1088"/>
      <c r="F6" s="1088"/>
      <c r="G6" s="1088"/>
      <c r="H6" s="1088"/>
      <c r="I6" s="1089" t="s">
        <v>77</v>
      </c>
      <c r="J6" s="1090"/>
      <c r="K6" s="1090"/>
      <c r="L6" s="1090"/>
      <c r="M6" s="1090"/>
      <c r="N6" s="1090"/>
      <c r="O6" s="1090"/>
      <c r="P6" s="1090"/>
      <c r="Q6" s="1090"/>
      <c r="R6" s="1090"/>
      <c r="S6" s="1090"/>
      <c r="T6" s="1091"/>
      <c r="U6" s="1092" t="s">
        <v>78</v>
      </c>
      <c r="V6" s="1090"/>
      <c r="W6" s="1090"/>
      <c r="X6" s="1090"/>
      <c r="Y6" s="1090"/>
      <c r="Z6" s="1090"/>
      <c r="AA6" s="1090"/>
      <c r="AB6" s="1093"/>
      <c r="AC6" s="1093"/>
      <c r="AD6" s="1093"/>
      <c r="AE6" s="1093"/>
      <c r="AF6" s="1094"/>
      <c r="AG6" s="1095" t="s">
        <v>79</v>
      </c>
      <c r="AH6" s="1093"/>
      <c r="AI6" s="1093"/>
      <c r="AJ6" s="1093"/>
      <c r="AK6" s="1093"/>
      <c r="AL6" s="1093"/>
      <c r="AM6" s="1093"/>
      <c r="AN6" s="1093"/>
      <c r="AO6" s="1093"/>
      <c r="AP6" s="1093"/>
      <c r="AQ6" s="1093"/>
      <c r="AR6" s="1094"/>
      <c r="AS6" s="1095" t="s">
        <v>80</v>
      </c>
      <c r="AT6" s="1093"/>
      <c r="AU6" s="1093"/>
      <c r="AV6" s="1093"/>
      <c r="AW6" s="1093"/>
      <c r="AX6" s="1093"/>
      <c r="AY6" s="1093"/>
      <c r="AZ6" s="1093"/>
      <c r="BA6" s="1093"/>
      <c r="BB6" s="1093"/>
      <c r="BC6" s="1093"/>
      <c r="BD6" s="1093"/>
      <c r="BE6" s="1093"/>
      <c r="BF6" s="1093"/>
      <c r="BG6" s="1093"/>
      <c r="BH6" s="1158" t="s">
        <v>81</v>
      </c>
      <c r="BI6" s="1159"/>
      <c r="BJ6" s="1159"/>
      <c r="BK6" s="1159"/>
      <c r="BL6" s="1159"/>
      <c r="BM6" s="1159"/>
      <c r="BN6" s="1159"/>
      <c r="BO6" s="1159"/>
      <c r="BP6" s="1159"/>
      <c r="BQ6" s="1159"/>
      <c r="BR6" s="1159"/>
      <c r="BS6" s="1160"/>
      <c r="BT6" s="1158" t="s">
        <v>82</v>
      </c>
      <c r="BU6" s="1159"/>
      <c r="BV6" s="1159"/>
      <c r="BW6" s="1159"/>
      <c r="BX6" s="1159"/>
      <c r="BY6" s="1159"/>
      <c r="BZ6" s="1159"/>
      <c r="CA6" s="1159"/>
      <c r="CB6" s="1159"/>
      <c r="CC6" s="1159"/>
      <c r="CD6" s="1159"/>
      <c r="CE6" s="1160"/>
      <c r="CF6" s="1158" t="s">
        <v>83</v>
      </c>
      <c r="CG6" s="1159"/>
      <c r="CH6" s="1159"/>
      <c r="CI6" s="1159"/>
      <c r="CJ6" s="1159"/>
      <c r="CK6" s="1159"/>
      <c r="CL6" s="1159"/>
      <c r="CM6" s="1159"/>
      <c r="CN6" s="1159"/>
      <c r="CO6" s="1159"/>
      <c r="CP6" s="1159"/>
      <c r="CQ6" s="1160" t="s">
        <v>207</v>
      </c>
      <c r="CR6" s="1159" t="s">
        <v>719</v>
      </c>
      <c r="CS6" s="1159"/>
      <c r="CT6" s="1159"/>
      <c r="CU6" s="1159"/>
      <c r="CV6" s="1159"/>
      <c r="CW6" s="1159"/>
      <c r="CX6" s="1159"/>
      <c r="CY6" s="1159"/>
      <c r="CZ6" s="1159"/>
      <c r="DA6" s="1159"/>
      <c r="DB6" s="1159"/>
      <c r="DC6" s="1160" t="s">
        <v>207</v>
      </c>
      <c r="DD6" s="1158" t="s">
        <v>720</v>
      </c>
      <c r="DE6" s="1159"/>
      <c r="DF6" s="1159"/>
      <c r="DG6" s="1159"/>
      <c r="DH6" s="1159"/>
      <c r="DI6" s="1159"/>
      <c r="DJ6" s="1159"/>
      <c r="DK6" s="1159"/>
      <c r="DL6" s="1159"/>
      <c r="DM6" s="1159"/>
      <c r="DN6" s="1159"/>
      <c r="DO6" s="1159" t="s">
        <v>207</v>
      </c>
      <c r="DP6" s="1165" t="s">
        <v>731</v>
      </c>
      <c r="DQ6" s="1161"/>
      <c r="DR6" s="1161"/>
      <c r="DS6" s="1162"/>
    </row>
    <row r="7" spans="2:123" s="35" customFormat="1" ht="11.25">
      <c r="B7" s="36"/>
      <c r="C7" s="54"/>
      <c r="D7" s="37"/>
      <c r="E7" s="37"/>
      <c r="F7" s="37"/>
      <c r="G7" s="37"/>
      <c r="H7" s="38"/>
      <c r="I7" s="39"/>
      <c r="J7" s="37"/>
      <c r="K7" s="37"/>
      <c r="L7" s="37"/>
      <c r="M7" s="37"/>
      <c r="N7" s="37"/>
      <c r="O7" s="37"/>
      <c r="P7" s="37"/>
      <c r="Q7" s="37"/>
      <c r="R7" s="37"/>
      <c r="S7" s="37"/>
      <c r="T7" s="37"/>
      <c r="U7" s="37"/>
      <c r="V7" s="37"/>
      <c r="W7" s="38"/>
      <c r="X7" s="40"/>
      <c r="Y7" s="40"/>
      <c r="Z7" s="40"/>
      <c r="AA7" s="40"/>
      <c r="AB7" s="41"/>
      <c r="AC7" s="42"/>
      <c r="AD7" s="42"/>
      <c r="AE7" s="42"/>
      <c r="AF7" s="42"/>
      <c r="AG7" s="42"/>
      <c r="AH7" s="42"/>
      <c r="AI7" s="42"/>
      <c r="AJ7" s="42"/>
      <c r="AK7" s="42"/>
      <c r="AL7" s="42"/>
      <c r="AM7" s="42"/>
      <c r="AN7" s="42"/>
      <c r="AO7" s="42"/>
      <c r="AP7" s="42"/>
      <c r="AQ7" s="42"/>
      <c r="AR7" s="42"/>
      <c r="AS7" s="43"/>
      <c r="AT7" s="44"/>
      <c r="AU7" s="45"/>
      <c r="AV7" s="41"/>
      <c r="AW7" s="42"/>
      <c r="AX7" s="42"/>
      <c r="AY7" s="42"/>
      <c r="AZ7" s="42"/>
      <c r="BA7" s="42"/>
      <c r="BB7" s="46"/>
      <c r="BC7" s="46"/>
      <c r="BD7" s="42"/>
      <c r="BE7" s="42"/>
      <c r="BF7" s="42"/>
      <c r="BG7" s="42"/>
      <c r="BH7" s="1081" t="s">
        <v>18</v>
      </c>
      <c r="BI7" s="1081" t="s">
        <v>19</v>
      </c>
      <c r="BJ7" s="1081" t="s">
        <v>20</v>
      </c>
      <c r="BK7" s="1081" t="s">
        <v>15</v>
      </c>
      <c r="BL7" s="1081" t="s">
        <v>21</v>
      </c>
      <c r="BM7" s="1081" t="s">
        <v>14</v>
      </c>
      <c r="BN7" s="1081" t="s">
        <v>16</v>
      </c>
      <c r="BO7" s="1081" t="s">
        <v>14</v>
      </c>
      <c r="BP7" s="1081" t="s">
        <v>15</v>
      </c>
      <c r="BQ7" s="1081" t="s">
        <v>15</v>
      </c>
      <c r="BR7" s="1081" t="s">
        <v>16</v>
      </c>
      <c r="BS7" s="1081" t="s">
        <v>17</v>
      </c>
      <c r="BT7" s="1081" t="s">
        <v>18</v>
      </c>
      <c r="BU7" s="1081" t="s">
        <v>19</v>
      </c>
      <c r="BV7" s="1081" t="s">
        <v>20</v>
      </c>
      <c r="BW7" s="1081" t="s">
        <v>15</v>
      </c>
      <c r="BX7" s="1081" t="s">
        <v>21</v>
      </c>
      <c r="BY7" s="1081" t="s">
        <v>14</v>
      </c>
      <c r="BZ7" s="1081" t="s">
        <v>16</v>
      </c>
      <c r="CA7" s="1081" t="s">
        <v>14</v>
      </c>
      <c r="CB7" s="1081" t="s">
        <v>15</v>
      </c>
      <c r="CC7" s="1081" t="s">
        <v>15</v>
      </c>
      <c r="CD7" s="1081" t="s">
        <v>16</v>
      </c>
      <c r="CE7" s="1081" t="s">
        <v>17</v>
      </c>
      <c r="CF7" s="1081" t="s">
        <v>18</v>
      </c>
      <c r="CG7" s="1081" t="s">
        <v>19</v>
      </c>
      <c r="CH7" s="1081" t="s">
        <v>20</v>
      </c>
      <c r="CI7" s="1081" t="s">
        <v>15</v>
      </c>
      <c r="CJ7" s="1081" t="s">
        <v>21</v>
      </c>
      <c r="CK7" s="1081" t="s">
        <v>14</v>
      </c>
      <c r="CL7" s="1081" t="s">
        <v>16</v>
      </c>
      <c r="CM7" s="1082" t="s">
        <v>14</v>
      </c>
      <c r="CN7" s="1081" t="s">
        <v>15</v>
      </c>
      <c r="CO7" s="1082" t="s">
        <v>15</v>
      </c>
      <c r="CP7" s="1083" t="s">
        <v>16</v>
      </c>
      <c r="CQ7" s="1083" t="s">
        <v>17</v>
      </c>
      <c r="CR7" s="1081" t="s">
        <v>18</v>
      </c>
      <c r="CS7" s="1081" t="s">
        <v>19</v>
      </c>
      <c r="CT7" s="1081" t="s">
        <v>20</v>
      </c>
      <c r="CU7" s="1081" t="s">
        <v>15</v>
      </c>
      <c r="CV7" s="1081" t="s">
        <v>21</v>
      </c>
      <c r="CW7" s="1081" t="s">
        <v>14</v>
      </c>
      <c r="CX7" s="1081" t="s">
        <v>16</v>
      </c>
      <c r="CY7" s="1081" t="s">
        <v>14</v>
      </c>
      <c r="CZ7" s="1081" t="s">
        <v>15</v>
      </c>
      <c r="DA7" s="1082" t="s">
        <v>15</v>
      </c>
      <c r="DB7" s="1081" t="s">
        <v>16</v>
      </c>
      <c r="DC7" s="1081" t="s">
        <v>17</v>
      </c>
      <c r="DD7" s="1083" t="s">
        <v>18</v>
      </c>
      <c r="DE7" s="1081" t="s">
        <v>19</v>
      </c>
      <c r="DF7" s="1081" t="s">
        <v>20</v>
      </c>
      <c r="DG7" s="1081" t="s">
        <v>15</v>
      </c>
      <c r="DH7" s="1081" t="s">
        <v>21</v>
      </c>
      <c r="DI7" s="1081" t="s">
        <v>14</v>
      </c>
      <c r="DJ7" s="1081" t="s">
        <v>16</v>
      </c>
      <c r="DK7" s="1081" t="s">
        <v>14</v>
      </c>
      <c r="DL7" s="1081" t="s">
        <v>15</v>
      </c>
      <c r="DM7" s="1082" t="s">
        <v>15</v>
      </c>
      <c r="DN7" s="1081" t="s">
        <v>16</v>
      </c>
      <c r="DO7" s="1163" t="s">
        <v>17</v>
      </c>
      <c r="DP7" s="36" t="s">
        <v>18</v>
      </c>
      <c r="DQ7" s="1083" t="s">
        <v>19</v>
      </c>
      <c r="DR7" s="1081" t="s">
        <v>20</v>
      </c>
      <c r="DS7" s="1183" t="s">
        <v>15</v>
      </c>
    </row>
    <row r="8" spans="2:123" s="35" customFormat="1" ht="1.5" customHeight="1">
      <c r="B8" s="36"/>
      <c r="C8" s="54"/>
      <c r="D8" s="47"/>
      <c r="E8" s="48"/>
      <c r="F8" s="48"/>
      <c r="G8" s="48"/>
      <c r="H8" s="48"/>
      <c r="I8" s="49"/>
      <c r="J8" s="48"/>
      <c r="K8" s="48"/>
      <c r="L8" s="48"/>
      <c r="M8" s="48"/>
      <c r="N8" s="48"/>
      <c r="O8" s="48"/>
      <c r="P8" s="48"/>
      <c r="Q8" s="48"/>
      <c r="R8" s="48"/>
      <c r="S8" s="48"/>
      <c r="T8" s="50"/>
      <c r="U8" s="48"/>
      <c r="V8" s="48"/>
      <c r="W8" s="48"/>
      <c r="X8" s="51"/>
      <c r="Y8" s="51"/>
      <c r="Z8" s="51"/>
      <c r="AA8" s="51"/>
      <c r="AB8" s="36"/>
      <c r="AC8" s="36"/>
      <c r="AD8" s="36"/>
      <c r="AE8" s="36"/>
      <c r="AF8" s="52"/>
      <c r="AG8" s="36"/>
      <c r="AH8" s="36"/>
      <c r="AI8" s="36"/>
      <c r="AJ8" s="36"/>
      <c r="AK8" s="36"/>
      <c r="AL8" s="36"/>
      <c r="AM8" s="36"/>
      <c r="AN8" s="36"/>
      <c r="AO8" s="36"/>
      <c r="AP8" s="36"/>
      <c r="AQ8" s="36"/>
      <c r="AR8" s="52"/>
      <c r="AS8" s="36"/>
      <c r="AT8" s="36"/>
      <c r="AU8" s="36"/>
      <c r="AV8" s="36"/>
      <c r="AW8" s="36"/>
      <c r="AX8" s="36"/>
      <c r="AY8" s="36"/>
      <c r="AZ8" s="36"/>
      <c r="BA8" s="36"/>
      <c r="BB8" s="36"/>
      <c r="BC8" s="36"/>
      <c r="BD8" s="36"/>
      <c r="BE8" s="36"/>
      <c r="BF8" s="36"/>
      <c r="BG8" s="52"/>
      <c r="BH8" s="36"/>
      <c r="BI8" s="36"/>
      <c r="BJ8" s="36"/>
      <c r="BK8" s="36"/>
      <c r="BL8" s="36"/>
      <c r="BM8" s="36"/>
      <c r="BN8" s="36"/>
      <c r="BO8" s="36"/>
      <c r="BP8" s="36"/>
      <c r="BQ8" s="36"/>
      <c r="BR8" s="36"/>
      <c r="BS8" s="52"/>
      <c r="BT8" s="36"/>
      <c r="BU8" s="36"/>
      <c r="BV8" s="36"/>
      <c r="BW8" s="36"/>
      <c r="BX8" s="36"/>
      <c r="BY8" s="36"/>
      <c r="BZ8" s="36"/>
      <c r="CA8" s="36"/>
      <c r="CB8" s="52"/>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53"/>
    </row>
    <row r="9" spans="2:123" s="35" customFormat="1" ht="1.5" customHeight="1">
      <c r="B9" s="36"/>
      <c r="C9" s="54"/>
      <c r="D9" s="36"/>
      <c r="E9" s="48"/>
      <c r="F9" s="48"/>
      <c r="G9" s="48"/>
      <c r="H9" s="48"/>
      <c r="I9" s="54"/>
      <c r="J9" s="36"/>
      <c r="K9" s="48"/>
      <c r="L9" s="48"/>
      <c r="M9" s="48"/>
      <c r="N9" s="48"/>
      <c r="O9" s="48"/>
      <c r="P9" s="48"/>
      <c r="Q9" s="48"/>
      <c r="R9" s="48"/>
      <c r="S9" s="48"/>
      <c r="T9" s="50"/>
      <c r="U9" s="48"/>
      <c r="V9" s="48"/>
      <c r="W9" s="48"/>
      <c r="X9" s="51"/>
      <c r="Y9" s="51"/>
      <c r="Z9" s="51"/>
      <c r="AA9" s="51"/>
      <c r="AB9" s="36"/>
      <c r="AC9" s="36"/>
      <c r="AD9" s="36"/>
      <c r="AE9" s="36"/>
      <c r="AF9" s="52"/>
      <c r="AG9" s="36"/>
      <c r="AH9" s="36"/>
      <c r="AI9" s="36"/>
      <c r="AJ9" s="36"/>
      <c r="AK9" s="36"/>
      <c r="AL9" s="36"/>
      <c r="AM9" s="36"/>
      <c r="AN9" s="36"/>
      <c r="AO9" s="36"/>
      <c r="AP9" s="36"/>
      <c r="AQ9" s="36"/>
      <c r="AR9" s="52"/>
      <c r="AS9" s="36"/>
      <c r="AT9" s="36"/>
      <c r="AU9" s="36"/>
      <c r="AV9" s="36"/>
      <c r="AW9" s="36"/>
      <c r="AX9" s="36"/>
      <c r="AY9" s="36"/>
      <c r="AZ9" s="36"/>
      <c r="BA9" s="36"/>
      <c r="BB9" s="36"/>
      <c r="BC9" s="36"/>
      <c r="BD9" s="36"/>
      <c r="BE9" s="36"/>
      <c r="BF9" s="36"/>
      <c r="BG9" s="52"/>
      <c r="BH9" s="36"/>
      <c r="BI9" s="36"/>
      <c r="BJ9" s="36"/>
      <c r="BK9" s="36"/>
      <c r="BL9" s="36"/>
      <c r="BM9" s="48"/>
      <c r="BN9" s="36"/>
      <c r="BO9" s="36"/>
      <c r="BP9" s="36"/>
      <c r="BQ9" s="36"/>
      <c r="BR9" s="36"/>
      <c r="BS9" s="52"/>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53"/>
    </row>
    <row r="10" spans="2:123" s="35" customFormat="1" ht="1.5" customHeight="1">
      <c r="B10" s="36"/>
      <c r="C10" s="54"/>
      <c r="D10" s="47"/>
      <c r="E10" s="48"/>
      <c r="F10" s="48"/>
      <c r="G10" s="48"/>
      <c r="H10" s="48"/>
      <c r="I10" s="49"/>
      <c r="J10" s="48"/>
      <c r="K10" s="48"/>
      <c r="L10" s="48"/>
      <c r="M10" s="48"/>
      <c r="N10" s="48"/>
      <c r="O10" s="48"/>
      <c r="P10" s="36"/>
      <c r="Q10" s="48"/>
      <c r="R10" s="48"/>
      <c r="S10" s="48"/>
      <c r="T10" s="50"/>
      <c r="U10" s="48"/>
      <c r="V10" s="48"/>
      <c r="W10" s="48"/>
      <c r="X10" s="51"/>
      <c r="Y10" s="51"/>
      <c r="Z10" s="51"/>
      <c r="AA10" s="51"/>
      <c r="AB10" s="36"/>
      <c r="AC10" s="36"/>
      <c r="AD10" s="36"/>
      <c r="AE10" s="36"/>
      <c r="AF10" s="52"/>
      <c r="AG10" s="36"/>
      <c r="AH10" s="36"/>
      <c r="AI10" s="36"/>
      <c r="AJ10" s="36"/>
      <c r="AK10" s="36"/>
      <c r="AL10" s="36"/>
      <c r="AM10" s="36"/>
      <c r="AN10" s="36"/>
      <c r="AO10" s="36"/>
      <c r="AP10" s="36"/>
      <c r="AQ10" s="36"/>
      <c r="AR10" s="52"/>
      <c r="AS10" s="36"/>
      <c r="AT10" s="36"/>
      <c r="AU10" s="36"/>
      <c r="AV10" s="36"/>
      <c r="AW10" s="36"/>
      <c r="AX10" s="36"/>
      <c r="AY10" s="36"/>
      <c r="AZ10" s="36"/>
      <c r="BA10" s="36"/>
      <c r="BB10" s="36"/>
      <c r="BC10" s="36"/>
      <c r="BD10" s="36"/>
      <c r="BE10" s="36"/>
      <c r="BF10" s="36"/>
      <c r="BG10" s="52"/>
      <c r="BH10" s="36"/>
      <c r="BI10" s="36"/>
      <c r="BJ10" s="36"/>
      <c r="BK10" s="36"/>
      <c r="BL10" s="36"/>
      <c r="BM10" s="48"/>
      <c r="BN10" s="36"/>
      <c r="BO10" s="36"/>
      <c r="BP10" s="36"/>
      <c r="BQ10" s="36"/>
      <c r="BR10" s="36"/>
      <c r="BS10" s="52"/>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53"/>
    </row>
    <row r="11" spans="2:123" s="35" customFormat="1" ht="13.5" customHeight="1">
      <c r="B11" s="36"/>
      <c r="C11" s="54"/>
      <c r="D11" s="47"/>
      <c r="E11" s="4" t="s">
        <v>22</v>
      </c>
      <c r="F11" s="48"/>
      <c r="G11" s="48"/>
      <c r="H11" s="48"/>
      <c r="I11" s="230"/>
      <c r="J11" s="231"/>
      <c r="K11" s="201"/>
      <c r="L11" s="201"/>
      <c r="M11" s="201"/>
      <c r="N11" s="201"/>
      <c r="O11" s="201"/>
      <c r="P11" s="48"/>
      <c r="Q11" s="48"/>
      <c r="R11" s="48"/>
      <c r="S11" s="48"/>
      <c r="T11" s="50"/>
      <c r="U11" s="48"/>
      <c r="V11" s="48"/>
      <c r="W11" s="55"/>
      <c r="X11" s="55"/>
      <c r="Y11" s="55"/>
      <c r="Z11" s="55"/>
      <c r="AA11" s="51"/>
      <c r="AB11" s="36"/>
      <c r="AC11" s="36"/>
      <c r="AD11" s="36"/>
      <c r="AE11" s="36"/>
      <c r="AF11" s="52"/>
      <c r="AG11" s="36"/>
      <c r="AH11" s="36"/>
      <c r="AI11" s="36"/>
      <c r="AJ11" s="36"/>
      <c r="AK11" s="36"/>
      <c r="AL11" s="36"/>
      <c r="AM11" s="36"/>
      <c r="AN11" s="36"/>
      <c r="AO11" s="36"/>
      <c r="AP11" s="36"/>
      <c r="AQ11" s="36"/>
      <c r="AR11" s="52"/>
      <c r="AS11" s="36"/>
      <c r="AT11" s="36"/>
      <c r="AU11" s="36"/>
      <c r="AV11" s="36"/>
      <c r="AW11" s="36"/>
      <c r="AX11" s="36"/>
      <c r="AY11" s="36"/>
      <c r="AZ11" s="36"/>
      <c r="BA11" s="36"/>
      <c r="BB11" s="36"/>
      <c r="BC11" s="36"/>
      <c r="BD11" s="36"/>
      <c r="BE11" s="36"/>
      <c r="BF11" s="36"/>
      <c r="BG11" s="52"/>
      <c r="BH11" s="36"/>
      <c r="BI11" s="36"/>
      <c r="BJ11" s="36"/>
      <c r="BK11" s="36"/>
      <c r="BL11" s="36"/>
      <c r="BM11" s="48"/>
      <c r="BN11" s="36"/>
      <c r="BO11" s="36"/>
      <c r="BP11" s="36"/>
      <c r="BQ11" s="36"/>
      <c r="BR11" s="36"/>
      <c r="BS11" s="52"/>
      <c r="BT11" s="36"/>
      <c r="BU11" s="267"/>
      <c r="BV11" s="267"/>
      <c r="BW11" s="267"/>
      <c r="BX11" s="267"/>
      <c r="BY11" s="267"/>
      <c r="BZ11" s="267"/>
      <c r="CA11" s="267"/>
      <c r="CB11" s="267"/>
      <c r="CC11" s="267"/>
      <c r="CD11" s="267"/>
      <c r="CE11" s="268"/>
      <c r="CF11" s="267"/>
      <c r="CG11" s="267"/>
      <c r="CH11" s="267"/>
      <c r="CI11" s="267"/>
      <c r="CJ11" s="267"/>
      <c r="CK11" s="267"/>
      <c r="CL11" s="267"/>
      <c r="CM11" s="267"/>
      <c r="CN11" s="267"/>
      <c r="CO11" s="267"/>
      <c r="CP11" s="267"/>
      <c r="CQ11" s="52"/>
      <c r="CR11" s="267"/>
      <c r="CS11" s="267"/>
      <c r="CT11" s="267"/>
      <c r="CU11" s="267"/>
      <c r="CV11" s="267"/>
      <c r="CW11" s="267"/>
      <c r="CX11" s="267"/>
      <c r="CY11" s="267"/>
      <c r="CZ11" s="267"/>
      <c r="DA11" s="267"/>
      <c r="DB11" s="267"/>
      <c r="DC11" s="52"/>
      <c r="DD11" s="267"/>
      <c r="DE11" s="267"/>
      <c r="DF11" s="267"/>
      <c r="DG11" s="267"/>
      <c r="DH11" s="267"/>
      <c r="DI11" s="267"/>
      <c r="DJ11" s="267"/>
      <c r="DK11" s="267"/>
      <c r="DL11" s="267"/>
      <c r="DM11" s="267"/>
      <c r="DN11" s="267"/>
      <c r="DO11" s="36"/>
      <c r="DP11" s="36"/>
      <c r="DQ11" s="36"/>
      <c r="DR11" s="36"/>
      <c r="DS11" s="53"/>
    </row>
    <row r="12" spans="2:123" s="35" customFormat="1" ht="15">
      <c r="B12" s="36"/>
      <c r="C12" s="54"/>
      <c r="D12" s="47"/>
      <c r="E12" s="48"/>
      <c r="F12" s="56" t="s">
        <v>76</v>
      </c>
      <c r="G12" s="48"/>
      <c r="H12" s="36"/>
      <c r="I12" s="49"/>
      <c r="J12" s="48"/>
      <c r="K12" s="48"/>
      <c r="L12" s="48"/>
      <c r="M12" s="48"/>
      <c r="N12" s="145"/>
      <c r="O12" s="145"/>
      <c r="P12" s="145"/>
      <c r="Q12" s="145"/>
      <c r="R12" s="145"/>
      <c r="S12" s="145"/>
      <c r="T12" s="262" t="s">
        <v>23</v>
      </c>
      <c r="U12" s="145"/>
      <c r="V12" s="145"/>
      <c r="W12" s="263"/>
      <c r="X12" s="263"/>
      <c r="Y12" s="263"/>
      <c r="Z12" s="263" t="s">
        <v>24</v>
      </c>
      <c r="AA12" s="262"/>
      <c r="AB12" s="25"/>
      <c r="AC12" s="25"/>
      <c r="AD12" s="25"/>
      <c r="AE12" s="25"/>
      <c r="AF12" s="264"/>
      <c r="AG12" s="25"/>
      <c r="AH12" s="25"/>
      <c r="AI12" s="25"/>
      <c r="AJ12" s="25"/>
      <c r="AK12" s="25"/>
      <c r="AL12" s="25"/>
      <c r="AM12" s="36"/>
      <c r="AN12" s="36"/>
      <c r="AO12" s="36"/>
      <c r="AP12" s="36"/>
      <c r="AQ12" s="36"/>
      <c r="AR12" s="52"/>
      <c r="AS12" s="36"/>
      <c r="AT12" s="36"/>
      <c r="AU12" s="36"/>
      <c r="AV12" s="36"/>
      <c r="AW12" s="36"/>
      <c r="AX12" s="36"/>
      <c r="AY12" s="36"/>
      <c r="AZ12" s="36"/>
      <c r="BA12" s="36"/>
      <c r="BB12" s="36"/>
      <c r="BC12" s="36"/>
      <c r="BD12" s="36"/>
      <c r="BE12" s="36"/>
      <c r="BF12" s="36"/>
      <c r="BG12" s="261"/>
      <c r="BH12" s="36"/>
      <c r="BI12" s="36"/>
      <c r="BJ12" s="36"/>
      <c r="BK12" s="36"/>
      <c r="BL12" s="36"/>
      <c r="BM12" s="48"/>
      <c r="BN12" s="36"/>
      <c r="BO12" s="36"/>
      <c r="BP12" s="36"/>
      <c r="BQ12" s="36"/>
      <c r="BR12" s="36"/>
      <c r="BS12" s="52"/>
      <c r="BT12" s="36"/>
      <c r="BU12" s="267"/>
      <c r="BV12" s="267"/>
      <c r="BW12" s="267"/>
      <c r="BX12" s="267"/>
      <c r="BY12" s="267"/>
      <c r="BZ12" s="267"/>
      <c r="CA12" s="267"/>
      <c r="CB12" s="267"/>
      <c r="CC12" s="269"/>
      <c r="CD12" s="267"/>
      <c r="CE12" s="268"/>
      <c r="CF12" s="267"/>
      <c r="CG12" s="267"/>
      <c r="CH12" s="267"/>
      <c r="CI12" s="267"/>
      <c r="CJ12" s="270"/>
      <c r="CK12" s="269"/>
      <c r="CL12" s="267"/>
      <c r="CM12" s="267"/>
      <c r="CN12" s="267"/>
      <c r="CO12" s="267"/>
      <c r="CP12" s="267"/>
      <c r="CQ12" s="52"/>
      <c r="CR12" s="267"/>
      <c r="CS12" s="267"/>
      <c r="CT12" s="267"/>
      <c r="CU12" s="267"/>
      <c r="CV12" s="270"/>
      <c r="CW12" s="269"/>
      <c r="CX12" s="267"/>
      <c r="CY12" s="267"/>
      <c r="CZ12" s="267"/>
      <c r="DA12" s="267"/>
      <c r="DB12" s="267"/>
      <c r="DC12" s="52"/>
      <c r="DD12" s="267"/>
      <c r="DE12" s="267"/>
      <c r="DF12" s="267"/>
      <c r="DG12" s="267"/>
      <c r="DH12" s="270"/>
      <c r="DI12" s="269"/>
      <c r="DJ12" s="267"/>
      <c r="DK12" s="267"/>
      <c r="DL12" s="267"/>
      <c r="DM12" s="267"/>
      <c r="DN12" s="267"/>
      <c r="DO12" s="36"/>
      <c r="DP12" s="36"/>
      <c r="DQ12" s="36"/>
      <c r="DR12" s="36"/>
      <c r="DS12" s="53"/>
    </row>
    <row r="13" spans="2:123" s="35" customFormat="1" ht="15">
      <c r="B13" s="36"/>
      <c r="C13" s="54"/>
      <c r="D13" s="47"/>
      <c r="E13" s="48"/>
      <c r="F13" s="48"/>
      <c r="G13" s="48"/>
      <c r="H13" s="48"/>
      <c r="I13" s="49"/>
      <c r="J13" s="48"/>
      <c r="K13" s="48"/>
      <c r="L13" s="48"/>
      <c r="M13" s="48"/>
      <c r="N13" s="145"/>
      <c r="O13" s="145"/>
      <c r="P13" s="25"/>
      <c r="Q13" s="145"/>
      <c r="R13" s="145"/>
      <c r="S13" s="145"/>
      <c r="T13" s="265"/>
      <c r="U13" s="145"/>
      <c r="V13" s="145"/>
      <c r="W13" s="263" t="s">
        <v>25</v>
      </c>
      <c r="X13" s="263"/>
      <c r="Y13" s="263"/>
      <c r="Z13" s="263"/>
      <c r="AA13" s="262"/>
      <c r="AB13" s="25"/>
      <c r="AC13" s="25"/>
      <c r="AD13" s="25"/>
      <c r="AE13" s="25"/>
      <c r="AF13" s="264"/>
      <c r="AG13" s="25" t="s">
        <v>26</v>
      </c>
      <c r="AH13" s="25"/>
      <c r="AI13" s="25"/>
      <c r="AJ13" s="25"/>
      <c r="AK13" s="25"/>
      <c r="AL13" s="25"/>
      <c r="AM13" s="36"/>
      <c r="AN13" s="36"/>
      <c r="AO13" s="36"/>
      <c r="AP13" s="36"/>
      <c r="AQ13" s="36"/>
      <c r="AR13" s="52"/>
      <c r="AS13" s="36"/>
      <c r="AT13" s="36"/>
      <c r="AU13" s="36"/>
      <c r="AV13" s="36"/>
      <c r="AW13" s="36"/>
      <c r="AX13" s="36"/>
      <c r="AY13" s="36"/>
      <c r="AZ13" s="36"/>
      <c r="BA13" s="36"/>
      <c r="BB13" s="36"/>
      <c r="BC13" s="36"/>
      <c r="BD13" s="36"/>
      <c r="BE13" s="36"/>
      <c r="BF13" s="36"/>
      <c r="BG13" s="52"/>
      <c r="BH13" s="36"/>
      <c r="BI13" s="36"/>
      <c r="BJ13" s="36"/>
      <c r="BK13" s="36"/>
      <c r="BL13" s="36"/>
      <c r="BM13" s="48"/>
      <c r="BN13" s="36"/>
      <c r="BO13" s="36"/>
      <c r="BP13" s="36"/>
      <c r="BQ13" s="36"/>
      <c r="BR13" s="36"/>
      <c r="BS13" s="52"/>
      <c r="BT13" s="36"/>
      <c r="BU13" s="267"/>
      <c r="BV13" s="267"/>
      <c r="BW13" s="267"/>
      <c r="BX13" s="267"/>
      <c r="BY13" s="267"/>
      <c r="BZ13" s="267"/>
      <c r="CA13" s="267"/>
      <c r="CB13" s="267"/>
      <c r="CC13" s="267"/>
      <c r="CD13" s="267"/>
      <c r="CE13" s="268"/>
      <c r="CF13" s="267"/>
      <c r="CG13" s="267"/>
      <c r="CH13" s="267"/>
      <c r="CI13" s="267"/>
      <c r="CJ13" s="267"/>
      <c r="CK13" s="267"/>
      <c r="CL13" s="267"/>
      <c r="CM13" s="267"/>
      <c r="CN13" s="267"/>
      <c r="CO13" s="267"/>
      <c r="CP13" s="267"/>
      <c r="CQ13" s="52"/>
      <c r="CR13" s="267"/>
      <c r="CS13" s="267"/>
      <c r="CT13" s="267"/>
      <c r="CU13" s="267"/>
      <c r="CV13" s="267"/>
      <c r="CW13" s="267"/>
      <c r="CX13" s="267"/>
      <c r="CY13" s="267"/>
      <c r="CZ13" s="267"/>
      <c r="DA13" s="267"/>
      <c r="DB13" s="267"/>
      <c r="DC13" s="52"/>
      <c r="DD13" s="267"/>
      <c r="DE13" s="267"/>
      <c r="DF13" s="267"/>
      <c r="DG13" s="267"/>
      <c r="DH13" s="267"/>
      <c r="DI13" s="267"/>
      <c r="DJ13" s="267"/>
      <c r="DK13" s="267"/>
      <c r="DL13" s="267"/>
      <c r="DM13" s="267"/>
      <c r="DN13" s="267"/>
      <c r="DO13" s="36"/>
      <c r="DP13" s="36"/>
      <c r="DQ13" s="36"/>
      <c r="DR13" s="36"/>
      <c r="DS13" s="53"/>
    </row>
    <row r="14" spans="2:123" s="35" customFormat="1" ht="15">
      <c r="B14" s="36"/>
      <c r="C14" s="54"/>
      <c r="D14" s="47"/>
      <c r="E14" s="48"/>
      <c r="F14" s="48"/>
      <c r="G14" s="48"/>
      <c r="H14" s="48"/>
      <c r="I14" s="49"/>
      <c r="J14" s="48"/>
      <c r="K14" s="48"/>
      <c r="L14" s="48"/>
      <c r="M14" s="48"/>
      <c r="N14" s="145"/>
      <c r="O14" s="145"/>
      <c r="P14" s="145"/>
      <c r="Q14" s="145"/>
      <c r="R14" s="145"/>
      <c r="S14" s="145"/>
      <c r="T14" s="265"/>
      <c r="U14" s="145"/>
      <c r="V14" s="145"/>
      <c r="W14" s="145"/>
      <c r="X14" s="262"/>
      <c r="Y14" s="262"/>
      <c r="Z14" s="262"/>
      <c r="AA14" s="36"/>
      <c r="AB14" s="25"/>
      <c r="AC14" s="25"/>
      <c r="AD14" s="263"/>
      <c r="AE14" s="25"/>
      <c r="AF14" s="264"/>
      <c r="AG14" s="25"/>
      <c r="AH14" s="25"/>
      <c r="AI14" s="25"/>
      <c r="AJ14" s="25"/>
      <c r="AK14" s="25"/>
      <c r="AL14" s="25"/>
      <c r="AM14" s="36"/>
      <c r="AN14" s="36"/>
      <c r="AO14" s="36"/>
      <c r="AP14" s="36"/>
      <c r="AQ14" s="36"/>
      <c r="AR14" s="52"/>
      <c r="AS14" s="36"/>
      <c r="AT14" s="36"/>
      <c r="AU14" s="36"/>
      <c r="AV14" s="36"/>
      <c r="AW14" s="36"/>
      <c r="AX14" s="36"/>
      <c r="AY14" s="36"/>
      <c r="AZ14" s="36"/>
      <c r="BA14" s="36"/>
      <c r="BB14" s="36"/>
      <c r="BC14" s="36"/>
      <c r="BD14" s="36"/>
      <c r="BE14" s="36"/>
      <c r="BF14" s="36"/>
      <c r="BG14" s="52"/>
      <c r="BH14" s="58"/>
      <c r="BI14" s="36"/>
      <c r="BJ14" s="36"/>
      <c r="BK14" s="36"/>
      <c r="BL14" s="36"/>
      <c r="BM14" s="48"/>
      <c r="BN14" s="36"/>
      <c r="BO14" s="36"/>
      <c r="BP14" s="36"/>
      <c r="BQ14" s="36"/>
      <c r="BR14" s="36"/>
      <c r="BS14" s="52"/>
      <c r="BT14" s="36"/>
      <c r="BU14" s="267"/>
      <c r="BV14" s="267"/>
      <c r="BW14" s="267"/>
      <c r="BX14" s="267"/>
      <c r="BY14" s="267"/>
      <c r="BZ14" s="267"/>
      <c r="CA14" s="267"/>
      <c r="CB14" s="267"/>
      <c r="CC14" s="267"/>
      <c r="CD14" s="267"/>
      <c r="CE14" s="268"/>
      <c r="CF14" s="267"/>
      <c r="CG14" s="267"/>
      <c r="CH14" s="267"/>
      <c r="CI14" s="267"/>
      <c r="CJ14" s="267"/>
      <c r="CK14" s="267"/>
      <c r="CL14" s="267"/>
      <c r="CM14" s="267"/>
      <c r="CN14" s="269"/>
      <c r="CO14" s="267"/>
      <c r="CP14" s="267"/>
      <c r="CQ14" s="52"/>
      <c r="CR14" s="267"/>
      <c r="CS14" s="267"/>
      <c r="CT14" s="267"/>
      <c r="CU14" s="267"/>
      <c r="CV14" s="267"/>
      <c r="CW14" s="267"/>
      <c r="CX14" s="267"/>
      <c r="CY14" s="267"/>
      <c r="CZ14" s="269"/>
      <c r="DA14" s="267"/>
      <c r="DB14" s="267"/>
      <c r="DC14" s="52"/>
      <c r="DD14" s="267"/>
      <c r="DE14" s="267"/>
      <c r="DF14" s="267"/>
      <c r="DG14" s="267"/>
      <c r="DH14" s="267"/>
      <c r="DI14" s="267"/>
      <c r="DJ14" s="267"/>
      <c r="DK14" s="267"/>
      <c r="DL14" s="269"/>
      <c r="DM14" s="267"/>
      <c r="DN14" s="267"/>
      <c r="DO14" s="36"/>
      <c r="DP14" s="36"/>
      <c r="DQ14" s="36"/>
      <c r="DR14" s="36"/>
      <c r="DS14" s="53"/>
    </row>
    <row r="15" spans="2:143" s="35" customFormat="1" ht="15">
      <c r="B15" s="36"/>
      <c r="C15" s="54"/>
      <c r="D15" s="47"/>
      <c r="E15" s="48"/>
      <c r="F15" s="48"/>
      <c r="G15" s="48"/>
      <c r="H15" s="48"/>
      <c r="I15" s="49"/>
      <c r="J15" s="48"/>
      <c r="K15" s="48"/>
      <c r="L15" s="48"/>
      <c r="M15" s="48"/>
      <c r="N15" s="145"/>
      <c r="O15" s="145"/>
      <c r="P15" s="145"/>
      <c r="Q15" s="145"/>
      <c r="R15" s="145"/>
      <c r="S15" s="145"/>
      <c r="T15" s="265"/>
      <c r="U15" s="145"/>
      <c r="V15" s="145"/>
      <c r="W15" s="145"/>
      <c r="X15" s="262"/>
      <c r="Y15" s="262"/>
      <c r="Z15" s="262"/>
      <c r="AA15" s="262" t="s">
        <v>27</v>
      </c>
      <c r="AB15" s="25"/>
      <c r="AC15" s="25"/>
      <c r="AD15" s="25"/>
      <c r="AE15" s="25"/>
      <c r="AF15" s="264"/>
      <c r="AG15" s="25"/>
      <c r="AH15" s="25"/>
      <c r="AI15" s="266"/>
      <c r="AJ15" s="25"/>
      <c r="AK15" s="25"/>
      <c r="AL15" s="25"/>
      <c r="AM15" s="36"/>
      <c r="AN15" s="36"/>
      <c r="AO15" s="36"/>
      <c r="AP15" s="36"/>
      <c r="AQ15" s="36"/>
      <c r="AR15" s="52"/>
      <c r="AS15" s="36"/>
      <c r="AT15" s="36"/>
      <c r="AU15" s="36"/>
      <c r="AV15" s="36"/>
      <c r="AW15" s="36"/>
      <c r="AX15" s="36"/>
      <c r="AY15" s="36"/>
      <c r="AZ15" s="36"/>
      <c r="BA15" s="36"/>
      <c r="BB15" s="36"/>
      <c r="BC15" s="36"/>
      <c r="BD15" s="36"/>
      <c r="BE15" s="36"/>
      <c r="BF15" s="36"/>
      <c r="BG15" s="52"/>
      <c r="BH15" s="58"/>
      <c r="BI15" s="36"/>
      <c r="BJ15" s="36"/>
      <c r="BK15" s="36"/>
      <c r="BL15" s="36"/>
      <c r="BM15" s="48"/>
      <c r="BN15" s="36"/>
      <c r="BO15" s="36"/>
      <c r="BP15" s="36"/>
      <c r="BQ15" s="36"/>
      <c r="BR15" s="36"/>
      <c r="BS15" s="52"/>
      <c r="BT15" s="36"/>
      <c r="BU15" s="269"/>
      <c r="BV15" s="267"/>
      <c r="BW15" s="267"/>
      <c r="BX15" s="267"/>
      <c r="BY15" s="267"/>
      <c r="BZ15" s="267"/>
      <c r="CA15" s="267"/>
      <c r="CB15" s="267"/>
      <c r="CC15" s="267"/>
      <c r="CD15" s="267"/>
      <c r="CE15" s="268"/>
      <c r="CF15" s="267"/>
      <c r="CG15" s="270"/>
      <c r="CH15" s="267"/>
      <c r="CI15" s="271"/>
      <c r="CJ15" s="271"/>
      <c r="CK15" s="270"/>
      <c r="CL15" s="270"/>
      <c r="CM15" s="270"/>
      <c r="CN15" s="267"/>
      <c r="CO15" s="267"/>
      <c r="CP15" s="267"/>
      <c r="CQ15" s="52"/>
      <c r="CR15" s="267"/>
      <c r="CS15" s="270"/>
      <c r="CT15" s="267"/>
      <c r="CU15" s="271"/>
      <c r="CV15" s="271"/>
      <c r="CW15" s="270"/>
      <c r="CX15" s="270"/>
      <c r="CY15" s="270"/>
      <c r="CZ15" s="267"/>
      <c r="DA15" s="267"/>
      <c r="DB15" s="267"/>
      <c r="DC15" s="52"/>
      <c r="DD15" s="267"/>
      <c r="DE15" s="270"/>
      <c r="DF15" s="267"/>
      <c r="DG15" s="271"/>
      <c r="DH15" s="271"/>
      <c r="DI15" s="270"/>
      <c r="DJ15" s="270"/>
      <c r="DK15" s="270"/>
      <c r="DL15" s="267"/>
      <c r="DM15" s="267"/>
      <c r="DN15" s="267"/>
      <c r="DO15" s="36"/>
      <c r="DP15" s="36"/>
      <c r="DQ15" s="36"/>
      <c r="DR15" s="36"/>
      <c r="DS15" s="53"/>
      <c r="EM15" s="35" t="s">
        <v>730</v>
      </c>
    </row>
    <row r="16" spans="2:123" s="35" customFormat="1" ht="5.25" customHeight="1">
      <c r="B16" s="36"/>
      <c r="C16" s="54"/>
      <c r="D16" s="61"/>
      <c r="E16" s="62"/>
      <c r="F16" s="62"/>
      <c r="G16" s="48"/>
      <c r="H16" s="48"/>
      <c r="I16" s="49"/>
      <c r="J16" s="48"/>
      <c r="K16" s="48"/>
      <c r="L16" s="48"/>
      <c r="M16" s="48"/>
      <c r="N16" s="48"/>
      <c r="O16" s="48"/>
      <c r="P16" s="48"/>
      <c r="Q16" s="48"/>
      <c r="R16" s="48"/>
      <c r="S16" s="48"/>
      <c r="T16" s="50"/>
      <c r="U16" s="48"/>
      <c r="V16" s="48"/>
      <c r="W16" s="48"/>
      <c r="X16" s="64"/>
      <c r="Y16" s="64"/>
      <c r="Z16" s="64"/>
      <c r="AA16" s="64"/>
      <c r="AB16" s="57"/>
      <c r="AC16" s="36"/>
      <c r="AD16" s="36"/>
      <c r="AE16" s="36"/>
      <c r="AF16" s="59"/>
      <c r="AG16" s="36"/>
      <c r="AH16" s="36"/>
      <c r="AI16" s="36"/>
      <c r="AJ16" s="36"/>
      <c r="AK16" s="36"/>
      <c r="AL16" s="36"/>
      <c r="AM16" s="36"/>
      <c r="AN16" s="36"/>
      <c r="AO16" s="36"/>
      <c r="AP16" s="36"/>
      <c r="AQ16" s="36"/>
      <c r="AR16" s="52"/>
      <c r="AS16" s="36"/>
      <c r="AT16" s="59"/>
      <c r="AU16" s="36"/>
      <c r="AV16" s="36"/>
      <c r="AW16" s="36"/>
      <c r="AX16" s="36"/>
      <c r="AY16" s="36"/>
      <c r="AZ16" s="36"/>
      <c r="BA16" s="36"/>
      <c r="BB16" s="36"/>
      <c r="BC16" s="36"/>
      <c r="BD16" s="58"/>
      <c r="BE16" s="36"/>
      <c r="BF16" s="36"/>
      <c r="BG16" s="52"/>
      <c r="BH16" s="36"/>
      <c r="BI16" s="36"/>
      <c r="BJ16" s="36"/>
      <c r="BK16" s="36"/>
      <c r="BL16" s="36"/>
      <c r="BM16" s="48"/>
      <c r="BN16" s="36"/>
      <c r="BO16" s="36"/>
      <c r="BP16" s="36"/>
      <c r="BQ16" s="36"/>
      <c r="BR16" s="36"/>
      <c r="BS16" s="52"/>
      <c r="BT16" s="36"/>
      <c r="BU16" s="267"/>
      <c r="BV16" s="267"/>
      <c r="BW16" s="267"/>
      <c r="BX16" s="267"/>
      <c r="BY16" s="267"/>
      <c r="BZ16" s="267"/>
      <c r="CA16" s="267"/>
      <c r="CB16" s="267"/>
      <c r="CC16" s="267"/>
      <c r="CD16" s="270"/>
      <c r="CE16" s="268"/>
      <c r="CF16" s="267"/>
      <c r="CG16" s="267"/>
      <c r="CH16" s="267"/>
      <c r="CI16" s="267"/>
      <c r="CJ16" s="267"/>
      <c r="CK16" s="267"/>
      <c r="CL16" s="267"/>
      <c r="CM16" s="267"/>
      <c r="CN16" s="270"/>
      <c r="CO16" s="270"/>
      <c r="CP16" s="270"/>
      <c r="CQ16" s="50"/>
      <c r="CR16" s="267"/>
      <c r="CS16" s="267"/>
      <c r="CT16" s="267"/>
      <c r="CU16" s="267"/>
      <c r="CV16" s="267"/>
      <c r="CW16" s="267"/>
      <c r="CX16" s="267"/>
      <c r="CY16" s="267"/>
      <c r="CZ16" s="270"/>
      <c r="DA16" s="270"/>
      <c r="DB16" s="270"/>
      <c r="DC16" s="50"/>
      <c r="DD16" s="267"/>
      <c r="DE16" s="267"/>
      <c r="DF16" s="267"/>
      <c r="DG16" s="267"/>
      <c r="DH16" s="267"/>
      <c r="DI16" s="267"/>
      <c r="DJ16" s="267"/>
      <c r="DK16" s="267"/>
      <c r="DL16" s="270"/>
      <c r="DM16" s="270"/>
      <c r="DN16" s="270"/>
      <c r="DO16" s="48"/>
      <c r="DP16" s="36"/>
      <c r="DQ16" s="36"/>
      <c r="DR16" s="36"/>
      <c r="DS16" s="53"/>
    </row>
    <row r="17" spans="2:123" s="65" customFormat="1" ht="18">
      <c r="B17" s="66"/>
      <c r="C17" s="1096"/>
      <c r="D17" s="67"/>
      <c r="E17" s="68"/>
      <c r="F17" s="68"/>
      <c r="G17" s="63"/>
      <c r="H17" s="63"/>
      <c r="I17" s="230" t="s">
        <v>28</v>
      </c>
      <c r="J17" s="228"/>
      <c r="K17" s="228"/>
      <c r="L17" s="228"/>
      <c r="M17" s="228"/>
      <c r="N17" s="228"/>
      <c r="O17" s="228"/>
      <c r="P17" s="228"/>
      <c r="Q17" s="228"/>
      <c r="R17" s="63"/>
      <c r="S17" s="63"/>
      <c r="T17" s="69"/>
      <c r="U17" s="63"/>
      <c r="V17" s="63"/>
      <c r="W17" s="63"/>
      <c r="X17" s="64"/>
      <c r="Y17" s="64"/>
      <c r="Z17" s="64"/>
      <c r="AA17" s="64"/>
      <c r="AB17" s="66"/>
      <c r="AC17" s="66"/>
      <c r="AD17" s="66"/>
      <c r="AE17" s="66"/>
      <c r="AF17" s="70"/>
      <c r="AG17" s="66"/>
      <c r="AH17" s="66"/>
      <c r="AI17" s="66"/>
      <c r="AJ17" s="66"/>
      <c r="AK17" s="66"/>
      <c r="AL17" s="66"/>
      <c r="AM17" s="66"/>
      <c r="AN17" s="66"/>
      <c r="AO17" s="66"/>
      <c r="AP17" s="66"/>
      <c r="AQ17" s="66"/>
      <c r="AR17" s="70"/>
      <c r="AS17" s="66"/>
      <c r="AT17" s="66"/>
      <c r="AU17" s="66"/>
      <c r="AV17" s="66"/>
      <c r="AW17" s="66"/>
      <c r="AX17" s="66"/>
      <c r="AY17" s="66"/>
      <c r="AZ17" s="66"/>
      <c r="BA17" s="66"/>
      <c r="BB17" s="66"/>
      <c r="BC17" s="66"/>
      <c r="BD17" s="66"/>
      <c r="BE17" s="66"/>
      <c r="BF17" s="66"/>
      <c r="BG17" s="70"/>
      <c r="BH17" s="66"/>
      <c r="BI17" s="66"/>
      <c r="BJ17" s="66"/>
      <c r="BK17" s="66"/>
      <c r="BL17" s="66"/>
      <c r="BM17" s="63"/>
      <c r="BN17" s="66"/>
      <c r="BO17" s="66"/>
      <c r="BP17" s="66"/>
      <c r="BQ17" s="66"/>
      <c r="BR17" s="66"/>
      <c r="BS17" s="52"/>
      <c r="BT17" s="66"/>
      <c r="BU17" s="66"/>
      <c r="BV17" s="66"/>
      <c r="BW17" s="66"/>
      <c r="BX17" s="66"/>
      <c r="BY17" s="66"/>
      <c r="BZ17" s="66"/>
      <c r="CA17" s="66"/>
      <c r="CB17" s="66"/>
      <c r="CC17" s="66"/>
      <c r="CD17" s="63"/>
      <c r="CE17" s="70"/>
      <c r="CF17" s="66"/>
      <c r="CG17" s="63"/>
      <c r="CH17" s="66"/>
      <c r="CI17" s="71"/>
      <c r="CJ17" s="71"/>
      <c r="CK17" s="63"/>
      <c r="CL17" s="63"/>
      <c r="CM17" s="63"/>
      <c r="CN17" s="63"/>
      <c r="CO17" s="63"/>
      <c r="CP17" s="63"/>
      <c r="CQ17" s="69"/>
      <c r="CR17" s="66"/>
      <c r="CS17" s="63"/>
      <c r="CT17" s="66"/>
      <c r="CU17" s="71"/>
      <c r="CV17" s="71"/>
      <c r="CW17" s="63"/>
      <c r="CX17" s="63"/>
      <c r="CY17" s="63"/>
      <c r="CZ17" s="63"/>
      <c r="DA17" s="63"/>
      <c r="DB17" s="63"/>
      <c r="DC17" s="69"/>
      <c r="DD17" s="66"/>
      <c r="DE17" s="63"/>
      <c r="DF17" s="66"/>
      <c r="DG17" s="71"/>
      <c r="DH17" s="71"/>
      <c r="DI17" s="63"/>
      <c r="DJ17" s="63"/>
      <c r="DK17" s="63"/>
      <c r="DL17" s="63"/>
      <c r="DM17" s="63"/>
      <c r="DN17" s="63"/>
      <c r="DO17" s="63"/>
      <c r="DP17" s="66"/>
      <c r="DQ17" s="66"/>
      <c r="DR17" s="66"/>
      <c r="DS17" s="1097"/>
    </row>
    <row r="18" spans="2:123" s="72" customFormat="1" ht="6" customHeight="1">
      <c r="B18" s="73"/>
      <c r="C18" s="1098"/>
      <c r="D18" s="74"/>
      <c r="E18" s="75"/>
      <c r="F18" s="75"/>
      <c r="G18" s="76"/>
      <c r="H18" s="76"/>
      <c r="I18" s="77"/>
      <c r="J18" s="71"/>
      <c r="K18" s="71"/>
      <c r="L18" s="71"/>
      <c r="M18" s="71"/>
      <c r="N18" s="71"/>
      <c r="O18" s="71"/>
      <c r="P18" s="71"/>
      <c r="Q18" s="71"/>
      <c r="R18" s="71"/>
      <c r="S18" s="71"/>
      <c r="T18" s="71"/>
      <c r="U18" s="71"/>
      <c r="V18" s="71"/>
      <c r="W18" s="71"/>
      <c r="X18" s="64"/>
      <c r="Y18" s="64"/>
      <c r="Z18" s="64"/>
      <c r="AA18" s="64"/>
      <c r="AB18" s="78"/>
      <c r="AC18" s="78"/>
      <c r="AD18" s="78"/>
      <c r="AE18" s="78"/>
      <c r="AF18" s="79"/>
      <c r="AG18" s="78"/>
      <c r="AH18" s="78"/>
      <c r="AI18" s="78"/>
      <c r="AJ18" s="78"/>
      <c r="AK18" s="78"/>
      <c r="AL18" s="78"/>
      <c r="AM18" s="78"/>
      <c r="AN18" s="78"/>
      <c r="AO18" s="78"/>
      <c r="AP18" s="78"/>
      <c r="AQ18" s="78"/>
      <c r="AR18" s="79"/>
      <c r="AS18" s="78"/>
      <c r="AT18" s="78"/>
      <c r="AU18" s="78"/>
      <c r="AV18" s="78"/>
      <c r="AW18" s="78"/>
      <c r="AX18" s="78"/>
      <c r="AY18" s="78"/>
      <c r="AZ18" s="78"/>
      <c r="BA18" s="78"/>
      <c r="BB18" s="78"/>
      <c r="BC18" s="78"/>
      <c r="BD18" s="78"/>
      <c r="BE18" s="78"/>
      <c r="BF18" s="78"/>
      <c r="BG18" s="79"/>
      <c r="BH18" s="78"/>
      <c r="BI18" s="78"/>
      <c r="BJ18" s="78"/>
      <c r="BK18" s="78"/>
      <c r="BL18" s="78"/>
      <c r="BM18" s="71"/>
      <c r="BN18" s="78"/>
      <c r="BO18" s="78"/>
      <c r="BP18" s="78"/>
      <c r="BQ18" s="78"/>
      <c r="BR18" s="78"/>
      <c r="BS18" s="79"/>
      <c r="BT18" s="78"/>
      <c r="BU18" s="78"/>
      <c r="BV18" s="78"/>
      <c r="BW18" s="78"/>
      <c r="BX18" s="78"/>
      <c r="BY18" s="78"/>
      <c r="BZ18" s="78"/>
      <c r="CA18" s="78"/>
      <c r="CB18" s="78"/>
      <c r="CC18" s="78"/>
      <c r="CD18" s="71"/>
      <c r="CE18" s="79"/>
      <c r="CF18" s="78"/>
      <c r="CG18" s="71"/>
      <c r="CH18" s="78"/>
      <c r="CI18" s="71"/>
      <c r="CJ18" s="71"/>
      <c r="CK18" s="71"/>
      <c r="CL18" s="71"/>
      <c r="CM18" s="71"/>
      <c r="CN18" s="71"/>
      <c r="CO18" s="71"/>
      <c r="CP18" s="71"/>
      <c r="CQ18" s="81"/>
      <c r="CR18" s="78"/>
      <c r="CS18" s="71"/>
      <c r="CT18" s="78"/>
      <c r="CU18" s="71"/>
      <c r="CV18" s="71"/>
      <c r="CW18" s="71"/>
      <c r="CX18" s="71"/>
      <c r="CY18" s="71"/>
      <c r="CZ18" s="71"/>
      <c r="DA18" s="71"/>
      <c r="DB18" s="71"/>
      <c r="DC18" s="81"/>
      <c r="DD18" s="78"/>
      <c r="DE18" s="71"/>
      <c r="DF18" s="78"/>
      <c r="DG18" s="71"/>
      <c r="DH18" s="71"/>
      <c r="DI18" s="71"/>
      <c r="DJ18" s="71"/>
      <c r="DK18" s="71"/>
      <c r="DL18" s="71"/>
      <c r="DM18" s="71"/>
      <c r="DN18" s="71"/>
      <c r="DO18" s="71"/>
      <c r="DP18" s="78"/>
      <c r="DQ18" s="78"/>
      <c r="DR18" s="78"/>
      <c r="DS18" s="1099"/>
    </row>
    <row r="19" spans="2:123" s="83" customFormat="1" ht="11.25" customHeight="1">
      <c r="B19" s="84"/>
      <c r="C19" s="1100"/>
      <c r="D19" s="85"/>
      <c r="E19" s="86"/>
      <c r="F19" s="86"/>
      <c r="G19" s="60"/>
      <c r="H19" s="60"/>
      <c r="I19" s="272"/>
      <c r="J19" s="60"/>
      <c r="K19" s="60"/>
      <c r="L19" s="60"/>
      <c r="M19" s="60"/>
      <c r="N19" s="91"/>
      <c r="O19" s="273"/>
      <c r="P19" s="274"/>
      <c r="Q19" s="274"/>
      <c r="R19" s="274"/>
      <c r="S19" s="274"/>
      <c r="T19" s="274"/>
      <c r="U19" s="273"/>
      <c r="V19" s="274"/>
      <c r="W19" s="274"/>
      <c r="X19" s="274"/>
      <c r="Y19" s="274"/>
      <c r="Z19" s="274"/>
      <c r="AA19" s="89"/>
      <c r="AB19" s="91"/>
      <c r="AC19" s="91"/>
      <c r="AD19" s="275" t="s">
        <v>29</v>
      </c>
      <c r="AE19" s="91"/>
      <c r="AF19" s="90"/>
      <c r="AG19" s="91"/>
      <c r="AH19" s="91"/>
      <c r="AI19" s="91"/>
      <c r="AJ19" s="91"/>
      <c r="AK19" s="91"/>
      <c r="AL19" s="91"/>
      <c r="AM19" s="91"/>
      <c r="AN19" s="91"/>
      <c r="AO19" s="91"/>
      <c r="AP19" s="91"/>
      <c r="AQ19" s="91"/>
      <c r="AR19" s="90"/>
      <c r="AS19" s="91"/>
      <c r="AT19" s="91"/>
      <c r="AU19" s="91"/>
      <c r="AV19" s="60"/>
      <c r="AW19" s="60"/>
      <c r="AX19" s="60"/>
      <c r="AY19" s="60"/>
      <c r="AZ19" s="60"/>
      <c r="BA19" s="60"/>
      <c r="BB19" s="60"/>
      <c r="BC19" s="60"/>
      <c r="BD19" s="60"/>
      <c r="BE19" s="91"/>
      <c r="BF19" s="91"/>
      <c r="BG19" s="90"/>
      <c r="BH19" s="91"/>
      <c r="BI19" s="91"/>
      <c r="BJ19" s="91"/>
      <c r="BK19" s="91"/>
      <c r="BL19" s="91"/>
      <c r="BM19" s="60"/>
      <c r="BN19" s="91"/>
      <c r="BO19" s="91"/>
      <c r="BP19" s="91"/>
      <c r="BQ19" s="91"/>
      <c r="BR19" s="91"/>
      <c r="BS19" s="90"/>
      <c r="BT19" s="91"/>
      <c r="BU19" s="91"/>
      <c r="BV19" s="84"/>
      <c r="BW19" s="84"/>
      <c r="BX19" s="84"/>
      <c r="BY19" s="84"/>
      <c r="BZ19" s="87"/>
      <c r="CA19" s="87"/>
      <c r="CB19" s="87"/>
      <c r="CC19" s="84"/>
      <c r="CD19" s="87"/>
      <c r="CE19" s="90"/>
      <c r="CF19" s="91"/>
      <c r="CG19" s="60"/>
      <c r="CH19" s="91"/>
      <c r="CI19" s="71"/>
      <c r="CJ19" s="71"/>
      <c r="CK19" s="60"/>
      <c r="CL19" s="60"/>
      <c r="CM19" s="60"/>
      <c r="CN19" s="60"/>
      <c r="CO19" s="60"/>
      <c r="CP19" s="60"/>
      <c r="CQ19" s="92"/>
      <c r="CR19" s="91"/>
      <c r="CS19" s="60"/>
      <c r="CT19" s="91"/>
      <c r="CU19" s="71"/>
      <c r="CV19" s="71"/>
      <c r="CW19" s="60"/>
      <c r="CX19" s="60"/>
      <c r="CY19" s="60"/>
      <c r="CZ19" s="60"/>
      <c r="DA19" s="60"/>
      <c r="DB19" s="60"/>
      <c r="DC19" s="92"/>
      <c r="DD19" s="91"/>
      <c r="DE19" s="60"/>
      <c r="DF19" s="91"/>
      <c r="DG19" s="71"/>
      <c r="DH19" s="71"/>
      <c r="DI19" s="60"/>
      <c r="DJ19" s="60"/>
      <c r="DK19" s="60"/>
      <c r="DL19" s="60"/>
      <c r="DM19" s="60"/>
      <c r="DN19" s="60"/>
      <c r="DO19" s="60"/>
      <c r="DP19" s="91"/>
      <c r="DQ19" s="91"/>
      <c r="DR19" s="91"/>
      <c r="DS19" s="1101"/>
    </row>
    <row r="20" spans="1:123" s="82" customFormat="1" ht="3" customHeight="1">
      <c r="A20" s="71"/>
      <c r="B20" s="64"/>
      <c r="C20" s="125"/>
      <c r="D20" s="93"/>
      <c r="E20" s="94"/>
      <c r="F20" s="94"/>
      <c r="G20" s="71"/>
      <c r="H20" s="71"/>
      <c r="I20" s="276"/>
      <c r="J20" s="71"/>
      <c r="K20" s="76"/>
      <c r="L20" s="71"/>
      <c r="M20" s="71"/>
      <c r="N20" s="71"/>
      <c r="O20" s="71"/>
      <c r="P20" s="71"/>
      <c r="Q20" s="71"/>
      <c r="R20" s="71"/>
      <c r="S20" s="71"/>
      <c r="T20" s="71"/>
      <c r="U20" s="71"/>
      <c r="V20" s="71"/>
      <c r="W20" s="71"/>
      <c r="X20" s="71"/>
      <c r="Y20" s="71"/>
      <c r="Z20" s="71"/>
      <c r="AA20" s="71"/>
      <c r="AB20" s="71"/>
      <c r="AC20" s="71"/>
      <c r="AD20" s="71"/>
      <c r="AE20" s="71"/>
      <c r="AF20" s="81"/>
      <c r="AG20" s="71"/>
      <c r="AH20" s="71"/>
      <c r="AI20" s="71"/>
      <c r="AJ20" s="71"/>
      <c r="AK20" s="71"/>
      <c r="AL20" s="71"/>
      <c r="AM20" s="71"/>
      <c r="AN20" s="71"/>
      <c r="AO20" s="71"/>
      <c r="AP20" s="71"/>
      <c r="AQ20" s="71"/>
      <c r="AR20" s="81"/>
      <c r="AS20" s="71"/>
      <c r="AT20" s="71"/>
      <c r="AU20" s="71"/>
      <c r="AV20" s="71"/>
      <c r="AW20" s="71"/>
      <c r="AX20" s="71"/>
      <c r="AY20" s="71"/>
      <c r="AZ20" s="71"/>
      <c r="BA20" s="71"/>
      <c r="BB20" s="71"/>
      <c r="BC20" s="71"/>
      <c r="BD20" s="71"/>
      <c r="BE20" s="71"/>
      <c r="BF20" s="71"/>
      <c r="BG20" s="81"/>
      <c r="BH20" s="71"/>
      <c r="BI20" s="71"/>
      <c r="BJ20" s="71"/>
      <c r="BK20" s="71"/>
      <c r="BL20" s="71"/>
      <c r="BM20" s="71"/>
      <c r="BN20" s="71"/>
      <c r="BO20" s="71"/>
      <c r="BP20" s="71"/>
      <c r="BQ20" s="71"/>
      <c r="BR20" s="71"/>
      <c r="BS20" s="81"/>
      <c r="BT20" s="71"/>
      <c r="BU20" s="71"/>
      <c r="BV20" s="64"/>
      <c r="BW20" s="64"/>
      <c r="BX20" s="64"/>
      <c r="BY20" s="64"/>
      <c r="BZ20" s="64"/>
      <c r="CA20" s="64"/>
      <c r="CB20" s="64"/>
      <c r="CC20" s="64"/>
      <c r="CD20" s="64"/>
      <c r="CE20" s="81"/>
      <c r="CF20" s="71"/>
      <c r="CG20" s="71"/>
      <c r="CH20" s="71"/>
      <c r="CI20" s="71"/>
      <c r="CJ20" s="71"/>
      <c r="CK20" s="71"/>
      <c r="CL20" s="71"/>
      <c r="CM20" s="71"/>
      <c r="CN20" s="71"/>
      <c r="CO20" s="71"/>
      <c r="CP20" s="71"/>
      <c r="CQ20" s="81"/>
      <c r="CR20" s="71"/>
      <c r="CS20" s="71"/>
      <c r="CT20" s="71"/>
      <c r="CU20" s="71"/>
      <c r="CV20" s="71"/>
      <c r="CW20" s="71"/>
      <c r="CX20" s="71"/>
      <c r="CY20" s="71"/>
      <c r="CZ20" s="71"/>
      <c r="DA20" s="71"/>
      <c r="DB20" s="71"/>
      <c r="DC20" s="81"/>
      <c r="DD20" s="71"/>
      <c r="DE20" s="71"/>
      <c r="DF20" s="71"/>
      <c r="DG20" s="71"/>
      <c r="DH20" s="71"/>
      <c r="DI20" s="71"/>
      <c r="DJ20" s="71"/>
      <c r="DK20" s="71"/>
      <c r="DL20" s="71"/>
      <c r="DM20" s="71"/>
      <c r="DN20" s="71"/>
      <c r="DO20" s="71"/>
      <c r="DP20" s="71"/>
      <c r="DQ20" s="71"/>
      <c r="DR20" s="71"/>
      <c r="DS20" s="80"/>
    </row>
    <row r="21" spans="2:123" s="72" customFormat="1" ht="11.25" customHeight="1">
      <c r="B21" s="97"/>
      <c r="C21" s="1102"/>
      <c r="D21" s="93"/>
      <c r="E21" s="94"/>
      <c r="F21" s="94"/>
      <c r="G21" s="71"/>
      <c r="H21" s="71"/>
      <c r="I21" s="276"/>
      <c r="J21" s="71"/>
      <c r="K21" s="71"/>
      <c r="L21" s="71"/>
      <c r="M21" s="71"/>
      <c r="N21" s="78"/>
      <c r="O21" s="222"/>
      <c r="P21" s="100"/>
      <c r="Q21" s="100"/>
      <c r="R21" s="100"/>
      <c r="S21" s="100"/>
      <c r="T21" s="100"/>
      <c r="U21" s="100"/>
      <c r="V21" s="100"/>
      <c r="W21" s="100"/>
      <c r="X21" s="100"/>
      <c r="Y21" s="100"/>
      <c r="Z21" s="100"/>
      <c r="AA21" s="100"/>
      <c r="AB21" s="100"/>
      <c r="AC21" s="222"/>
      <c r="AD21" s="100"/>
      <c r="AE21" s="101"/>
      <c r="AF21" s="275"/>
      <c r="AG21" s="78"/>
      <c r="AH21" s="275"/>
      <c r="AI21" s="275" t="s">
        <v>30</v>
      </c>
      <c r="AJ21" s="78"/>
      <c r="AK21" s="78"/>
      <c r="AL21" s="78"/>
      <c r="AM21" s="78"/>
      <c r="AN21" s="78"/>
      <c r="AO21" s="78"/>
      <c r="AP21" s="78"/>
      <c r="AQ21" s="78"/>
      <c r="AR21" s="79"/>
      <c r="AS21" s="78"/>
      <c r="AT21" s="78"/>
      <c r="AU21" s="78"/>
      <c r="AV21" s="71"/>
      <c r="AW21" s="71"/>
      <c r="AX21" s="71"/>
      <c r="AY21" s="71"/>
      <c r="AZ21" s="71"/>
      <c r="BA21" s="71"/>
      <c r="BB21" s="71"/>
      <c r="BC21" s="71"/>
      <c r="BD21" s="71"/>
      <c r="BE21" s="78"/>
      <c r="BF21" s="78"/>
      <c r="BG21" s="79"/>
      <c r="BH21" s="78"/>
      <c r="BI21" s="78"/>
      <c r="BJ21" s="78"/>
      <c r="BK21" s="78"/>
      <c r="BL21" s="78"/>
      <c r="BM21" s="71"/>
      <c r="BN21" s="78"/>
      <c r="BO21" s="78"/>
      <c r="BP21" s="78"/>
      <c r="BQ21" s="78"/>
      <c r="BR21" s="78"/>
      <c r="BS21" s="79"/>
      <c r="BT21" s="78"/>
      <c r="BU21" s="78"/>
      <c r="BV21" s="97"/>
      <c r="BW21" s="97"/>
      <c r="BX21" s="97"/>
      <c r="BY21" s="97"/>
      <c r="BZ21" s="64"/>
      <c r="CA21" s="64"/>
      <c r="CB21" s="64"/>
      <c r="CC21" s="97"/>
      <c r="CD21" s="64"/>
      <c r="CE21" s="79"/>
      <c r="CF21" s="78"/>
      <c r="CG21" s="71"/>
      <c r="CH21" s="78"/>
      <c r="CI21" s="71"/>
      <c r="CJ21" s="71"/>
      <c r="CK21" s="71"/>
      <c r="CL21" s="71"/>
      <c r="CM21" s="71"/>
      <c r="CN21" s="71"/>
      <c r="CO21" s="71"/>
      <c r="CP21" s="71"/>
      <c r="CQ21" s="81"/>
      <c r="CR21" s="78"/>
      <c r="CS21" s="71"/>
      <c r="CT21" s="78"/>
      <c r="CU21" s="71"/>
      <c r="CV21" s="71"/>
      <c r="CW21" s="71"/>
      <c r="CX21" s="71"/>
      <c r="CY21" s="71"/>
      <c r="CZ21" s="71"/>
      <c r="DA21" s="71"/>
      <c r="DB21" s="71"/>
      <c r="DC21" s="81"/>
      <c r="DD21" s="78"/>
      <c r="DE21" s="71"/>
      <c r="DF21" s="78"/>
      <c r="DG21" s="71"/>
      <c r="DH21" s="71"/>
      <c r="DI21" s="71"/>
      <c r="DJ21" s="71"/>
      <c r="DK21" s="71"/>
      <c r="DL21" s="71"/>
      <c r="DM21" s="71"/>
      <c r="DN21" s="71"/>
      <c r="DO21" s="71"/>
      <c r="DP21" s="78"/>
      <c r="DQ21" s="78"/>
      <c r="DR21" s="78"/>
      <c r="DS21" s="1099"/>
    </row>
    <row r="22" spans="2:123" s="82" customFormat="1" ht="3.75" customHeight="1">
      <c r="B22" s="64"/>
      <c r="C22" s="125"/>
      <c r="D22" s="93"/>
      <c r="E22" s="94"/>
      <c r="F22" s="94"/>
      <c r="G22" s="71"/>
      <c r="H22" s="71"/>
      <c r="I22" s="276"/>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81"/>
      <c r="AS22" s="71"/>
      <c r="AT22" s="71"/>
      <c r="AU22" s="71"/>
      <c r="AV22" s="71"/>
      <c r="AW22" s="71"/>
      <c r="AX22" s="71"/>
      <c r="AY22" s="71"/>
      <c r="AZ22" s="71"/>
      <c r="BA22" s="71"/>
      <c r="BB22" s="71"/>
      <c r="BC22" s="71"/>
      <c r="BD22" s="71"/>
      <c r="BE22" s="71"/>
      <c r="BF22" s="71"/>
      <c r="BG22" s="81"/>
      <c r="BH22" s="71"/>
      <c r="BI22" s="71"/>
      <c r="BJ22" s="71"/>
      <c r="BK22" s="71"/>
      <c r="BL22" s="71"/>
      <c r="BM22" s="71"/>
      <c r="BN22" s="71"/>
      <c r="BO22" s="71"/>
      <c r="BP22" s="71"/>
      <c r="BQ22" s="71"/>
      <c r="BR22" s="71"/>
      <c r="BS22" s="81"/>
      <c r="BT22" s="71"/>
      <c r="BU22" s="71"/>
      <c r="BV22" s="64"/>
      <c r="BW22" s="64"/>
      <c r="BX22" s="64"/>
      <c r="BY22" s="64"/>
      <c r="BZ22" s="64"/>
      <c r="CA22" s="64"/>
      <c r="CB22" s="64"/>
      <c r="CC22" s="64"/>
      <c r="CD22" s="64"/>
      <c r="CE22" s="81"/>
      <c r="CF22" s="71"/>
      <c r="CG22" s="71"/>
      <c r="CH22" s="71"/>
      <c r="CI22" s="71"/>
      <c r="CJ22" s="71"/>
      <c r="CK22" s="71"/>
      <c r="CL22" s="71"/>
      <c r="CM22" s="71"/>
      <c r="CN22" s="71"/>
      <c r="CO22" s="71"/>
      <c r="CP22" s="71"/>
      <c r="CQ22" s="81"/>
      <c r="CR22" s="71"/>
      <c r="CS22" s="71"/>
      <c r="CT22" s="71"/>
      <c r="CU22" s="71"/>
      <c r="CV22" s="71"/>
      <c r="CW22" s="71"/>
      <c r="CX22" s="71"/>
      <c r="CY22" s="71"/>
      <c r="CZ22" s="71"/>
      <c r="DA22" s="71"/>
      <c r="DB22" s="71"/>
      <c r="DC22" s="81"/>
      <c r="DD22" s="71"/>
      <c r="DE22" s="71"/>
      <c r="DF22" s="71"/>
      <c r="DG22" s="71"/>
      <c r="DH22" s="71"/>
      <c r="DI22" s="71"/>
      <c r="DJ22" s="71"/>
      <c r="DK22" s="71"/>
      <c r="DL22" s="71"/>
      <c r="DM22" s="71"/>
      <c r="DN22" s="71"/>
      <c r="DO22" s="71"/>
      <c r="DP22" s="71"/>
      <c r="DQ22" s="71"/>
      <c r="DR22" s="71"/>
      <c r="DS22" s="80"/>
    </row>
    <row r="23" spans="2:123" s="72" customFormat="1" ht="11.25" customHeight="1">
      <c r="B23" s="97"/>
      <c r="C23" s="1102"/>
      <c r="D23" s="93"/>
      <c r="E23" s="94"/>
      <c r="F23" s="94"/>
      <c r="G23" s="71"/>
      <c r="H23" s="71"/>
      <c r="I23" s="276"/>
      <c r="J23" s="71"/>
      <c r="K23" s="71"/>
      <c r="L23" s="71"/>
      <c r="M23" s="71"/>
      <c r="N23" s="71"/>
      <c r="O23" s="71"/>
      <c r="P23" s="71"/>
      <c r="Q23" s="71"/>
      <c r="R23" s="71"/>
      <c r="S23" s="71"/>
      <c r="T23" s="71"/>
      <c r="U23" s="71"/>
      <c r="V23" s="71"/>
      <c r="W23" s="71"/>
      <c r="X23" s="71"/>
      <c r="Y23" s="71"/>
      <c r="Z23" s="71"/>
      <c r="AA23" s="71"/>
      <c r="AB23" s="78"/>
      <c r="AC23" s="78"/>
      <c r="AD23" s="78"/>
      <c r="AE23" s="73" t="s">
        <v>31</v>
      </c>
      <c r="AF23" s="78"/>
      <c r="AG23" s="222"/>
      <c r="AH23" s="100"/>
      <c r="AI23" s="100"/>
      <c r="AJ23" s="100"/>
      <c r="AK23" s="222"/>
      <c r="AL23" s="100"/>
      <c r="AM23" s="100"/>
      <c r="AN23" s="100"/>
      <c r="AO23" s="100"/>
      <c r="AP23" s="100"/>
      <c r="AQ23" s="100"/>
      <c r="AR23" s="222"/>
      <c r="AS23" s="100"/>
      <c r="AT23" s="100"/>
      <c r="AU23" s="100"/>
      <c r="AV23" s="100">
        <v>1</v>
      </c>
      <c r="AW23" s="222"/>
      <c r="AX23" s="101">
        <v>2</v>
      </c>
      <c r="AY23" s="101">
        <v>3</v>
      </c>
      <c r="AZ23" s="119"/>
      <c r="BA23" s="119"/>
      <c r="BB23" s="119"/>
      <c r="BC23" s="119"/>
      <c r="BD23" s="119"/>
      <c r="BE23" s="119"/>
      <c r="BF23" s="119"/>
      <c r="BG23" s="79"/>
      <c r="BH23" s="78"/>
      <c r="BI23" s="78"/>
      <c r="BJ23" s="78"/>
      <c r="BK23" s="78"/>
      <c r="BL23" s="78"/>
      <c r="BM23" s="71"/>
      <c r="BN23" s="78"/>
      <c r="BO23" s="78"/>
      <c r="BP23" s="78"/>
      <c r="BQ23" s="78"/>
      <c r="BR23" s="78"/>
      <c r="BS23" s="79"/>
      <c r="BT23" s="78"/>
      <c r="BU23" s="78"/>
      <c r="BV23" s="97"/>
      <c r="BW23" s="97"/>
      <c r="BX23" s="97"/>
      <c r="BY23" s="97"/>
      <c r="BZ23" s="64"/>
      <c r="CA23" s="64"/>
      <c r="CB23" s="64"/>
      <c r="CC23" s="97"/>
      <c r="CD23" s="64"/>
      <c r="CE23" s="79"/>
      <c r="CF23" s="78"/>
      <c r="CG23" s="71"/>
      <c r="CH23" s="78"/>
      <c r="CI23" s="71"/>
      <c r="CJ23" s="71"/>
      <c r="CK23" s="71"/>
      <c r="CL23" s="71"/>
      <c r="CM23" s="71"/>
      <c r="CN23" s="71"/>
      <c r="CO23" s="71"/>
      <c r="CP23" s="71"/>
      <c r="CQ23" s="81"/>
      <c r="CR23" s="78"/>
      <c r="CS23" s="71"/>
      <c r="CT23" s="78"/>
      <c r="CU23" s="71"/>
      <c r="CV23" s="71"/>
      <c r="CW23" s="71"/>
      <c r="CX23" s="71"/>
      <c r="CY23" s="71"/>
      <c r="CZ23" s="71"/>
      <c r="DA23" s="71"/>
      <c r="DB23" s="71"/>
      <c r="DC23" s="81"/>
      <c r="DD23" s="78"/>
      <c r="DE23" s="71"/>
      <c r="DF23" s="78"/>
      <c r="DG23" s="71"/>
      <c r="DH23" s="71"/>
      <c r="DI23" s="71"/>
      <c r="DJ23" s="71"/>
      <c r="DK23" s="71"/>
      <c r="DL23" s="71"/>
      <c r="DM23" s="71"/>
      <c r="DN23" s="71"/>
      <c r="DO23" s="71"/>
      <c r="DP23" s="78"/>
      <c r="DQ23" s="78"/>
      <c r="DR23" s="78"/>
      <c r="DS23" s="1099"/>
    </row>
    <row r="24" spans="2:123" s="82" customFormat="1" ht="3.75" customHeight="1">
      <c r="B24" s="64"/>
      <c r="C24" s="125"/>
      <c r="D24" s="108"/>
      <c r="E24" s="94"/>
      <c r="F24" s="94"/>
      <c r="G24" s="71"/>
      <c r="H24" s="71"/>
      <c r="I24" s="276"/>
      <c r="J24" s="71"/>
      <c r="K24" s="71"/>
      <c r="L24" s="71"/>
      <c r="M24" s="71"/>
      <c r="N24" s="71"/>
      <c r="O24" s="71"/>
      <c r="P24" s="71"/>
      <c r="Q24" s="71"/>
      <c r="R24" s="71"/>
      <c r="S24" s="71"/>
      <c r="T24" s="81"/>
      <c r="U24" s="71"/>
      <c r="V24" s="71"/>
      <c r="W24" s="71"/>
      <c r="X24" s="71"/>
      <c r="Y24" s="71"/>
      <c r="Z24" s="71"/>
      <c r="AA24" s="71"/>
      <c r="AB24" s="71"/>
      <c r="AC24" s="76"/>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81"/>
      <c r="BH24" s="71"/>
      <c r="BI24" s="71"/>
      <c r="BJ24" s="71"/>
      <c r="BK24" s="71"/>
      <c r="BL24" s="71"/>
      <c r="BM24" s="71"/>
      <c r="BN24" s="71"/>
      <c r="BO24" s="71"/>
      <c r="BP24" s="71"/>
      <c r="BQ24" s="71"/>
      <c r="BR24" s="71"/>
      <c r="BS24" s="81"/>
      <c r="BT24" s="71"/>
      <c r="BU24" s="71"/>
      <c r="BV24" s="64"/>
      <c r="BW24" s="64"/>
      <c r="BX24" s="64"/>
      <c r="BY24" s="64"/>
      <c r="BZ24" s="64"/>
      <c r="CA24" s="64"/>
      <c r="CB24" s="64"/>
      <c r="CC24" s="64"/>
      <c r="CD24" s="64"/>
      <c r="CE24" s="81"/>
      <c r="CF24" s="71"/>
      <c r="CG24" s="71"/>
      <c r="CH24" s="71"/>
      <c r="CI24" s="71"/>
      <c r="CJ24" s="71"/>
      <c r="CK24" s="71"/>
      <c r="CL24" s="71"/>
      <c r="CM24" s="71"/>
      <c r="CN24" s="71"/>
      <c r="CO24" s="71"/>
      <c r="CP24" s="71"/>
      <c r="CQ24" s="81"/>
      <c r="CR24" s="71"/>
      <c r="CS24" s="71"/>
      <c r="CT24" s="71"/>
      <c r="CU24" s="71"/>
      <c r="CV24" s="71"/>
      <c r="CW24" s="71"/>
      <c r="CX24" s="71"/>
      <c r="CY24" s="71"/>
      <c r="CZ24" s="71"/>
      <c r="DA24" s="71"/>
      <c r="DB24" s="71"/>
      <c r="DC24" s="81"/>
      <c r="DD24" s="71"/>
      <c r="DE24" s="71"/>
      <c r="DF24" s="71"/>
      <c r="DG24" s="71"/>
      <c r="DH24" s="71"/>
      <c r="DI24" s="71"/>
      <c r="DJ24" s="71"/>
      <c r="DK24" s="71"/>
      <c r="DL24" s="71"/>
      <c r="DM24" s="71"/>
      <c r="DN24" s="71"/>
      <c r="DO24" s="71"/>
      <c r="DP24" s="71"/>
      <c r="DQ24" s="71"/>
      <c r="DR24" s="71"/>
      <c r="DS24" s="80"/>
    </row>
    <row r="25" spans="2:123" s="72" customFormat="1" ht="15.75" customHeight="1">
      <c r="B25" s="97"/>
      <c r="C25" s="1102"/>
      <c r="D25" s="109"/>
      <c r="E25" s="94"/>
      <c r="F25" s="94"/>
      <c r="G25" s="71"/>
      <c r="H25" s="71"/>
      <c r="I25" s="230" t="s">
        <v>32</v>
      </c>
      <c r="J25" s="71"/>
      <c r="K25" s="71"/>
      <c r="L25" s="71"/>
      <c r="M25" s="71"/>
      <c r="N25" s="71"/>
      <c r="O25" s="71"/>
      <c r="P25" s="71"/>
      <c r="Q25" s="71"/>
      <c r="R25" s="71"/>
      <c r="S25" s="71"/>
      <c r="T25" s="81"/>
      <c r="U25" s="71"/>
      <c r="V25" s="71"/>
      <c r="W25" s="71"/>
      <c r="X25" s="71"/>
      <c r="Y25" s="71"/>
      <c r="Z25" s="71"/>
      <c r="AA25" s="71"/>
      <c r="AB25" s="78"/>
      <c r="AC25" s="78"/>
      <c r="AD25" s="78"/>
      <c r="AE25" s="78"/>
      <c r="AF25" s="79"/>
      <c r="AG25" s="78"/>
      <c r="AH25" s="78"/>
      <c r="AI25" s="71"/>
      <c r="AJ25" s="71"/>
      <c r="AK25" s="71"/>
      <c r="AL25" s="71"/>
      <c r="AM25" s="71"/>
      <c r="AN25" s="71"/>
      <c r="AO25" s="71"/>
      <c r="AP25" s="71"/>
      <c r="AQ25" s="71"/>
      <c r="AR25" s="71"/>
      <c r="AS25" s="108"/>
      <c r="AT25" s="71"/>
      <c r="AU25" s="76"/>
      <c r="AV25" s="71"/>
      <c r="AW25" s="71"/>
      <c r="AX25" s="71"/>
      <c r="AY25" s="76"/>
      <c r="AZ25" s="71"/>
      <c r="BA25" s="71"/>
      <c r="BB25" s="71"/>
      <c r="BC25" s="71"/>
      <c r="BD25" s="71"/>
      <c r="BE25" s="71"/>
      <c r="BF25" s="71"/>
      <c r="BG25" s="81"/>
      <c r="BH25" s="71"/>
      <c r="BI25" s="71"/>
      <c r="BJ25" s="78"/>
      <c r="BK25" s="78"/>
      <c r="BL25" s="78"/>
      <c r="BM25" s="78"/>
      <c r="BN25" s="78"/>
      <c r="BO25" s="78"/>
      <c r="BP25" s="78"/>
      <c r="BQ25" s="78"/>
      <c r="BR25" s="78"/>
      <c r="BS25" s="79"/>
      <c r="BT25" s="78"/>
      <c r="BU25" s="78"/>
      <c r="BV25" s="97"/>
      <c r="BW25" s="97"/>
      <c r="BX25" s="97"/>
      <c r="BY25" s="97"/>
      <c r="BZ25" s="64"/>
      <c r="CA25" s="64"/>
      <c r="CB25" s="64"/>
      <c r="CC25" s="97"/>
      <c r="CD25" s="64"/>
      <c r="CE25" s="79"/>
      <c r="CF25" s="78"/>
      <c r="CG25" s="71"/>
      <c r="CH25" s="78"/>
      <c r="CI25" s="71"/>
      <c r="CJ25" s="71"/>
      <c r="CK25" s="71"/>
      <c r="CL25" s="71"/>
      <c r="CM25" s="71"/>
      <c r="CN25" s="71"/>
      <c r="CO25" s="71"/>
      <c r="CP25" s="71"/>
      <c r="CQ25" s="81"/>
      <c r="CR25" s="78"/>
      <c r="CS25" s="71"/>
      <c r="CT25" s="78"/>
      <c r="CU25" s="71"/>
      <c r="CV25" s="71"/>
      <c r="CW25" s="71"/>
      <c r="CX25" s="71"/>
      <c r="CY25" s="71"/>
      <c r="CZ25" s="71"/>
      <c r="DA25" s="71"/>
      <c r="DB25" s="71"/>
      <c r="DC25" s="81"/>
      <c r="DD25" s="78"/>
      <c r="DE25" s="71"/>
      <c r="DF25" s="78"/>
      <c r="DG25" s="71"/>
      <c r="DH25" s="71"/>
      <c r="DI25" s="71"/>
      <c r="DJ25" s="71"/>
      <c r="DK25" s="71"/>
      <c r="DL25" s="71"/>
      <c r="DM25" s="71"/>
      <c r="DN25" s="71"/>
      <c r="DO25" s="71"/>
      <c r="DP25" s="78"/>
      <c r="DQ25" s="78"/>
      <c r="DR25" s="78"/>
      <c r="DS25" s="1099"/>
    </row>
    <row r="26" spans="2:123" s="72" customFormat="1" ht="3" customHeight="1">
      <c r="B26" s="97"/>
      <c r="C26" s="1102"/>
      <c r="D26" s="109"/>
      <c r="E26" s="94"/>
      <c r="F26" s="94"/>
      <c r="G26" s="71"/>
      <c r="H26" s="71"/>
      <c r="I26" s="110"/>
      <c r="J26" s="71"/>
      <c r="K26" s="71"/>
      <c r="L26" s="71"/>
      <c r="M26" s="71"/>
      <c r="N26" s="71"/>
      <c r="O26" s="71"/>
      <c r="P26" s="71"/>
      <c r="Q26" s="71"/>
      <c r="R26" s="71"/>
      <c r="S26" s="71"/>
      <c r="T26" s="81"/>
      <c r="U26" s="71"/>
      <c r="V26" s="71"/>
      <c r="W26" s="71"/>
      <c r="X26" s="71"/>
      <c r="Y26" s="71"/>
      <c r="Z26" s="71"/>
      <c r="AA26" s="71"/>
      <c r="AB26" s="78"/>
      <c r="AC26" s="78"/>
      <c r="AD26" s="78"/>
      <c r="AE26" s="78"/>
      <c r="AF26" s="79"/>
      <c r="AG26" s="78"/>
      <c r="AH26" s="78"/>
      <c r="AI26" s="78"/>
      <c r="AJ26" s="78"/>
      <c r="AK26" s="78"/>
      <c r="AL26" s="78"/>
      <c r="AM26" s="78"/>
      <c r="AN26" s="78"/>
      <c r="AO26" s="78"/>
      <c r="AP26" s="78"/>
      <c r="AQ26" s="78"/>
      <c r="AR26" s="79"/>
      <c r="AS26" s="78"/>
      <c r="AT26" s="78"/>
      <c r="AU26" s="78"/>
      <c r="AV26" s="76"/>
      <c r="AW26" s="71"/>
      <c r="AX26" s="71"/>
      <c r="AY26" s="71"/>
      <c r="AZ26" s="71"/>
      <c r="BA26" s="71"/>
      <c r="BB26" s="71"/>
      <c r="BC26" s="78"/>
      <c r="BD26" s="78"/>
      <c r="BE26" s="78"/>
      <c r="BF26" s="78"/>
      <c r="BG26" s="79"/>
      <c r="BH26" s="78"/>
      <c r="BI26" s="78"/>
      <c r="BJ26" s="78"/>
      <c r="BK26" s="78"/>
      <c r="BL26" s="78"/>
      <c r="BM26" s="78"/>
      <c r="BN26" s="78"/>
      <c r="BO26" s="78"/>
      <c r="BP26" s="78"/>
      <c r="BQ26" s="78"/>
      <c r="BR26" s="78"/>
      <c r="BS26" s="79"/>
      <c r="BT26" s="78"/>
      <c r="BU26" s="78"/>
      <c r="BV26" s="97"/>
      <c r="BW26" s="97"/>
      <c r="BX26" s="97"/>
      <c r="BY26" s="97"/>
      <c r="BZ26" s="64"/>
      <c r="CA26" s="64"/>
      <c r="CB26" s="64"/>
      <c r="CC26" s="97"/>
      <c r="CD26" s="64"/>
      <c r="CE26" s="79"/>
      <c r="CF26" s="78"/>
      <c r="CG26" s="71"/>
      <c r="CH26" s="78"/>
      <c r="CI26" s="71"/>
      <c r="CJ26" s="71"/>
      <c r="CK26" s="71"/>
      <c r="CL26" s="71"/>
      <c r="CM26" s="71"/>
      <c r="CN26" s="71"/>
      <c r="CO26" s="71"/>
      <c r="CP26" s="71"/>
      <c r="CQ26" s="81"/>
      <c r="CR26" s="78"/>
      <c r="CS26" s="71"/>
      <c r="CT26" s="78"/>
      <c r="CU26" s="71"/>
      <c r="CV26" s="71"/>
      <c r="CW26" s="71"/>
      <c r="CX26" s="71"/>
      <c r="CY26" s="71"/>
      <c r="CZ26" s="71"/>
      <c r="DA26" s="71"/>
      <c r="DB26" s="71"/>
      <c r="DC26" s="81"/>
      <c r="DD26" s="78"/>
      <c r="DE26" s="71"/>
      <c r="DF26" s="78"/>
      <c r="DG26" s="71"/>
      <c r="DH26" s="71"/>
      <c r="DI26" s="71"/>
      <c r="DJ26" s="71"/>
      <c r="DK26" s="71"/>
      <c r="DL26" s="71"/>
      <c r="DM26" s="71"/>
      <c r="DN26" s="71"/>
      <c r="DO26" s="71"/>
      <c r="DP26" s="78"/>
      <c r="DQ26" s="78"/>
      <c r="DR26" s="78"/>
      <c r="DS26" s="1099"/>
    </row>
    <row r="27" spans="2:123" s="72" customFormat="1" ht="3" customHeight="1">
      <c r="B27" s="104"/>
      <c r="C27" s="1103"/>
      <c r="D27" s="111"/>
      <c r="E27" s="112"/>
      <c r="F27" s="112"/>
      <c r="G27" s="76"/>
      <c r="H27" s="76"/>
      <c r="I27" s="276"/>
      <c r="J27" s="71"/>
      <c r="K27" s="71"/>
      <c r="L27" s="71"/>
      <c r="M27" s="71"/>
      <c r="N27" s="71"/>
      <c r="O27" s="71"/>
      <c r="P27" s="71"/>
      <c r="Q27" s="71"/>
      <c r="R27" s="71"/>
      <c r="S27" s="71"/>
      <c r="T27" s="71"/>
      <c r="U27" s="71"/>
      <c r="V27" s="71"/>
      <c r="W27" s="71"/>
      <c r="X27" s="71"/>
      <c r="Y27" s="71"/>
      <c r="Z27" s="71"/>
      <c r="AA27" s="71"/>
      <c r="AB27" s="78"/>
      <c r="AC27" s="78"/>
      <c r="AD27" s="78"/>
      <c r="AE27" s="78"/>
      <c r="AF27" s="79"/>
      <c r="AG27" s="78"/>
      <c r="AH27" s="78"/>
      <c r="AI27" s="78"/>
      <c r="AJ27" s="78"/>
      <c r="AK27" s="78"/>
      <c r="AL27" s="78"/>
      <c r="AM27" s="78"/>
      <c r="AN27" s="78"/>
      <c r="AO27" s="78"/>
      <c r="AP27" s="78"/>
      <c r="AQ27" s="78"/>
      <c r="AR27" s="79"/>
      <c r="AS27" s="78"/>
      <c r="AT27" s="78"/>
      <c r="AU27" s="78"/>
      <c r="AV27" s="78"/>
      <c r="AW27" s="78"/>
      <c r="AX27" s="78"/>
      <c r="AY27" s="78"/>
      <c r="AZ27" s="78"/>
      <c r="BA27" s="78"/>
      <c r="BB27" s="78"/>
      <c r="BC27" s="78"/>
      <c r="BD27" s="78"/>
      <c r="BE27" s="78"/>
      <c r="BF27" s="78"/>
      <c r="BG27" s="79"/>
      <c r="BH27" s="78"/>
      <c r="BI27" s="78"/>
      <c r="BJ27" s="78"/>
      <c r="BK27" s="78"/>
      <c r="BL27" s="78"/>
      <c r="BM27" s="78"/>
      <c r="BN27" s="78"/>
      <c r="BO27" s="78"/>
      <c r="BP27" s="78"/>
      <c r="BQ27" s="78"/>
      <c r="BR27" s="78"/>
      <c r="BS27" s="79"/>
      <c r="BT27" s="78"/>
      <c r="BU27" s="78"/>
      <c r="BV27" s="97"/>
      <c r="BW27" s="97"/>
      <c r="BX27" s="97"/>
      <c r="BY27" s="97"/>
      <c r="BZ27" s="64"/>
      <c r="CA27" s="64"/>
      <c r="CB27" s="64"/>
      <c r="CC27" s="97"/>
      <c r="CD27" s="64"/>
      <c r="CE27" s="79"/>
      <c r="CF27" s="78"/>
      <c r="CG27" s="71"/>
      <c r="CH27" s="78"/>
      <c r="CI27" s="71"/>
      <c r="CJ27" s="71"/>
      <c r="CK27" s="71"/>
      <c r="CL27" s="71"/>
      <c r="CM27" s="71"/>
      <c r="CN27" s="71"/>
      <c r="CO27" s="71"/>
      <c r="CP27" s="71"/>
      <c r="CQ27" s="81"/>
      <c r="CR27" s="78"/>
      <c r="CS27" s="71"/>
      <c r="CT27" s="78"/>
      <c r="CU27" s="71"/>
      <c r="CV27" s="71"/>
      <c r="CW27" s="71"/>
      <c r="CX27" s="71"/>
      <c r="CY27" s="71"/>
      <c r="CZ27" s="71"/>
      <c r="DA27" s="71"/>
      <c r="DB27" s="71"/>
      <c r="DC27" s="81"/>
      <c r="DD27" s="78"/>
      <c r="DE27" s="71"/>
      <c r="DF27" s="78"/>
      <c r="DG27" s="71"/>
      <c r="DH27" s="71"/>
      <c r="DI27" s="71"/>
      <c r="DJ27" s="71"/>
      <c r="DK27" s="71"/>
      <c r="DL27" s="71"/>
      <c r="DM27" s="71"/>
      <c r="DN27" s="71"/>
      <c r="DO27" s="71"/>
      <c r="DP27" s="78"/>
      <c r="DQ27" s="78"/>
      <c r="DR27" s="78"/>
      <c r="DS27" s="1099"/>
    </row>
    <row r="28" spans="2:123" s="72" customFormat="1" ht="11.25" customHeight="1">
      <c r="B28" s="97"/>
      <c r="C28" s="1102"/>
      <c r="D28" s="93"/>
      <c r="E28" s="94"/>
      <c r="F28" s="94"/>
      <c r="G28" s="71"/>
      <c r="H28" s="71"/>
      <c r="I28" s="276"/>
      <c r="J28" s="71"/>
      <c r="K28" s="71"/>
      <c r="L28" s="71"/>
      <c r="M28" s="71"/>
      <c r="N28" s="78"/>
      <c r="O28" s="222"/>
      <c r="P28" s="100"/>
      <c r="Q28" s="100"/>
      <c r="R28" s="100"/>
      <c r="S28" s="100"/>
      <c r="T28" s="100"/>
      <c r="U28" s="222"/>
      <c r="V28" s="100"/>
      <c r="W28" s="113"/>
      <c r="X28" s="113"/>
      <c r="Y28" s="113"/>
      <c r="Z28" s="113"/>
      <c r="AA28" s="113"/>
      <c r="AB28" s="277"/>
      <c r="AC28" s="275" t="s">
        <v>33</v>
      </c>
      <c r="AD28" s="71"/>
      <c r="AE28" s="71"/>
      <c r="AF28" s="81"/>
      <c r="AG28" s="71"/>
      <c r="AH28" s="71"/>
      <c r="AI28" s="71"/>
      <c r="AJ28" s="71"/>
      <c r="AK28" s="275"/>
      <c r="AL28" s="71"/>
      <c r="AM28" s="71"/>
      <c r="AN28" s="71"/>
      <c r="AO28" s="71"/>
      <c r="AP28" s="71"/>
      <c r="AQ28" s="71"/>
      <c r="AR28" s="81"/>
      <c r="AS28" s="71"/>
      <c r="AT28" s="71"/>
      <c r="AU28" s="71"/>
      <c r="AV28" s="71"/>
      <c r="AW28" s="71"/>
      <c r="AX28" s="71"/>
      <c r="AY28" s="71"/>
      <c r="AZ28" s="71"/>
      <c r="BA28" s="71"/>
      <c r="BB28" s="71"/>
      <c r="BC28" s="71"/>
      <c r="BD28" s="71"/>
      <c r="BE28" s="71"/>
      <c r="BF28" s="71"/>
      <c r="BG28" s="81"/>
      <c r="BH28" s="71"/>
      <c r="BI28" s="71"/>
      <c r="BJ28" s="78"/>
      <c r="BK28" s="78"/>
      <c r="BL28" s="78"/>
      <c r="BM28" s="78"/>
      <c r="BN28" s="78"/>
      <c r="BO28" s="78"/>
      <c r="BP28" s="78"/>
      <c r="BQ28" s="78"/>
      <c r="BR28" s="78"/>
      <c r="BS28" s="79"/>
      <c r="BT28" s="78"/>
      <c r="BU28" s="78"/>
      <c r="BV28" s="97"/>
      <c r="BW28" s="97"/>
      <c r="BX28" s="97"/>
      <c r="BY28" s="97"/>
      <c r="BZ28" s="64"/>
      <c r="CA28" s="64"/>
      <c r="CB28" s="64"/>
      <c r="CC28" s="97"/>
      <c r="CD28" s="64"/>
      <c r="CE28" s="79"/>
      <c r="CF28" s="78"/>
      <c r="CG28" s="71"/>
      <c r="CH28" s="78"/>
      <c r="CI28" s="71"/>
      <c r="CJ28" s="71"/>
      <c r="CK28" s="71"/>
      <c r="CL28" s="71"/>
      <c r="CM28" s="71"/>
      <c r="CN28" s="71"/>
      <c r="CO28" s="71"/>
      <c r="CP28" s="71"/>
      <c r="CQ28" s="81"/>
      <c r="CR28" s="78"/>
      <c r="CS28" s="71"/>
      <c r="CT28" s="78"/>
      <c r="CU28" s="71"/>
      <c r="CV28" s="71"/>
      <c r="CW28" s="71"/>
      <c r="CX28" s="71"/>
      <c r="CY28" s="71"/>
      <c r="CZ28" s="71"/>
      <c r="DA28" s="71"/>
      <c r="DB28" s="71"/>
      <c r="DC28" s="81"/>
      <c r="DD28" s="78"/>
      <c r="DE28" s="71"/>
      <c r="DF28" s="78"/>
      <c r="DG28" s="71"/>
      <c r="DH28" s="71"/>
      <c r="DI28" s="71"/>
      <c r="DJ28" s="71"/>
      <c r="DK28" s="71"/>
      <c r="DL28" s="71"/>
      <c r="DM28" s="71"/>
      <c r="DN28" s="71"/>
      <c r="DO28" s="71"/>
      <c r="DP28" s="78"/>
      <c r="DQ28" s="78"/>
      <c r="DR28" s="78"/>
      <c r="DS28" s="1099"/>
    </row>
    <row r="29" spans="2:123" s="82" customFormat="1" ht="2.25" customHeight="1">
      <c r="B29" s="64"/>
      <c r="C29" s="125"/>
      <c r="D29" s="93"/>
      <c r="E29" s="94"/>
      <c r="F29" s="94"/>
      <c r="G29" s="71"/>
      <c r="H29" s="71"/>
      <c r="I29" s="276"/>
      <c r="J29" s="71"/>
      <c r="K29" s="71"/>
      <c r="L29" s="71"/>
      <c r="M29" s="71"/>
      <c r="N29" s="76"/>
      <c r="O29" s="71"/>
      <c r="P29" s="71"/>
      <c r="Q29" s="71"/>
      <c r="R29" s="71"/>
      <c r="S29" s="71"/>
      <c r="T29" s="71"/>
      <c r="U29" s="71"/>
      <c r="V29" s="71"/>
      <c r="W29" s="71"/>
      <c r="X29" s="71"/>
      <c r="Y29" s="71"/>
      <c r="Z29" s="71"/>
      <c r="AA29" s="71"/>
      <c r="AB29" s="71"/>
      <c r="AC29" s="71"/>
      <c r="AD29" s="71"/>
      <c r="AE29" s="71"/>
      <c r="AF29" s="71"/>
      <c r="AG29" s="71"/>
      <c r="AH29" s="71"/>
      <c r="AI29" s="71"/>
      <c r="AJ29" s="71"/>
      <c r="AK29" s="275"/>
      <c r="AL29" s="71"/>
      <c r="AM29" s="71"/>
      <c r="AN29" s="71"/>
      <c r="AO29" s="71"/>
      <c r="AP29" s="71"/>
      <c r="AQ29" s="71"/>
      <c r="AR29" s="81"/>
      <c r="AS29" s="71"/>
      <c r="AT29" s="71"/>
      <c r="AU29" s="71"/>
      <c r="AV29" s="71"/>
      <c r="AW29" s="71"/>
      <c r="AX29" s="71"/>
      <c r="AY29" s="71"/>
      <c r="AZ29" s="71"/>
      <c r="BA29" s="71"/>
      <c r="BB29" s="71"/>
      <c r="BC29" s="71"/>
      <c r="BD29" s="71"/>
      <c r="BE29" s="71"/>
      <c r="BF29" s="71"/>
      <c r="BG29" s="81"/>
      <c r="BH29" s="71"/>
      <c r="BI29" s="71"/>
      <c r="BJ29" s="71"/>
      <c r="BK29" s="71"/>
      <c r="BL29" s="71"/>
      <c r="BM29" s="71"/>
      <c r="BN29" s="71"/>
      <c r="BO29" s="71"/>
      <c r="BP29" s="71"/>
      <c r="BQ29" s="71"/>
      <c r="BR29" s="71"/>
      <c r="BS29" s="81"/>
      <c r="BT29" s="71"/>
      <c r="BU29" s="71"/>
      <c r="BV29" s="64"/>
      <c r="BW29" s="64"/>
      <c r="BX29" s="64"/>
      <c r="BY29" s="64"/>
      <c r="BZ29" s="64"/>
      <c r="CA29" s="64"/>
      <c r="CB29" s="64"/>
      <c r="CC29" s="64"/>
      <c r="CD29" s="64"/>
      <c r="CE29" s="81"/>
      <c r="CF29" s="71"/>
      <c r="CG29" s="71"/>
      <c r="CH29" s="71"/>
      <c r="CI29" s="71"/>
      <c r="CJ29" s="71"/>
      <c r="CK29" s="71"/>
      <c r="CL29" s="71"/>
      <c r="CM29" s="71"/>
      <c r="CN29" s="71"/>
      <c r="CO29" s="71"/>
      <c r="CP29" s="71"/>
      <c r="CQ29" s="81"/>
      <c r="CR29" s="71"/>
      <c r="CS29" s="71"/>
      <c r="CT29" s="71"/>
      <c r="CU29" s="71"/>
      <c r="CV29" s="71"/>
      <c r="CW29" s="71"/>
      <c r="CX29" s="71"/>
      <c r="CY29" s="71"/>
      <c r="CZ29" s="71"/>
      <c r="DA29" s="71"/>
      <c r="DB29" s="71"/>
      <c r="DC29" s="81"/>
      <c r="DD29" s="71"/>
      <c r="DE29" s="71"/>
      <c r="DF29" s="71"/>
      <c r="DG29" s="71"/>
      <c r="DH29" s="71"/>
      <c r="DI29" s="71"/>
      <c r="DJ29" s="71"/>
      <c r="DK29" s="71"/>
      <c r="DL29" s="71"/>
      <c r="DM29" s="71"/>
      <c r="DN29" s="71"/>
      <c r="DO29" s="71"/>
      <c r="DP29" s="71"/>
      <c r="DQ29" s="71"/>
      <c r="DR29" s="71"/>
      <c r="DS29" s="80"/>
    </row>
    <row r="30" spans="2:123" s="82" customFormat="1" ht="11.25" customHeight="1">
      <c r="B30" s="64"/>
      <c r="C30" s="125"/>
      <c r="D30" s="93"/>
      <c r="E30" s="94"/>
      <c r="F30" s="94"/>
      <c r="G30" s="71"/>
      <c r="H30" s="71"/>
      <c r="I30" s="276"/>
      <c r="J30" s="71"/>
      <c r="K30" s="71"/>
      <c r="L30" s="71"/>
      <c r="M30" s="71"/>
      <c r="N30" s="76"/>
      <c r="O30" s="71"/>
      <c r="P30" s="71"/>
      <c r="Q30" s="71"/>
      <c r="R30" s="71"/>
      <c r="S30" s="71"/>
      <c r="T30" s="71"/>
      <c r="U30" s="71"/>
      <c r="V30" s="71"/>
      <c r="W30" s="71"/>
      <c r="X30" s="71"/>
      <c r="Y30" s="71"/>
      <c r="Z30" s="71"/>
      <c r="AA30" s="71"/>
      <c r="AB30" s="71"/>
      <c r="AC30" s="71"/>
      <c r="AD30" s="71"/>
      <c r="AE30" s="278"/>
      <c r="AF30" s="279" t="s">
        <v>34</v>
      </c>
      <c r="AG30" s="71"/>
      <c r="AH30" s="280"/>
      <c r="AI30" s="114"/>
      <c r="AJ30" s="114"/>
      <c r="AK30" s="114"/>
      <c r="AL30" s="281"/>
      <c r="AM30" s="115"/>
      <c r="AN30" s="282"/>
      <c r="AO30" s="71"/>
      <c r="AP30" s="71"/>
      <c r="AQ30" s="71"/>
      <c r="AR30" s="81"/>
      <c r="AS30" s="71"/>
      <c r="AT30" s="71"/>
      <c r="AU30" s="71"/>
      <c r="AV30" s="71"/>
      <c r="AW30" s="71"/>
      <c r="AX30" s="71"/>
      <c r="AY30" s="71"/>
      <c r="AZ30" s="71"/>
      <c r="BA30" s="71"/>
      <c r="BB30" s="71"/>
      <c r="BC30" s="71"/>
      <c r="BD30" s="71"/>
      <c r="BE30" s="71"/>
      <c r="BF30" s="71"/>
      <c r="BG30" s="81"/>
      <c r="BH30" s="71"/>
      <c r="BI30" s="71"/>
      <c r="BJ30" s="71"/>
      <c r="BK30" s="71"/>
      <c r="BL30" s="71"/>
      <c r="BM30" s="71"/>
      <c r="BN30" s="71"/>
      <c r="BO30" s="71"/>
      <c r="BP30" s="71"/>
      <c r="BQ30" s="71"/>
      <c r="BR30" s="71"/>
      <c r="BS30" s="81"/>
      <c r="BT30" s="71"/>
      <c r="BU30" s="71"/>
      <c r="BV30" s="64"/>
      <c r="BW30" s="64"/>
      <c r="BX30" s="64"/>
      <c r="BY30" s="64"/>
      <c r="BZ30" s="64"/>
      <c r="CA30" s="64"/>
      <c r="CB30" s="64"/>
      <c r="CC30" s="64"/>
      <c r="CD30" s="64"/>
      <c r="CE30" s="81"/>
      <c r="CF30" s="71"/>
      <c r="CG30" s="71"/>
      <c r="CH30" s="71"/>
      <c r="CI30" s="71"/>
      <c r="CJ30" s="71"/>
      <c r="CK30" s="71"/>
      <c r="CL30" s="71"/>
      <c r="CM30" s="71"/>
      <c r="CN30" s="71"/>
      <c r="CO30" s="71"/>
      <c r="CP30" s="71"/>
      <c r="CQ30" s="81"/>
      <c r="CR30" s="71"/>
      <c r="CS30" s="71"/>
      <c r="CT30" s="71"/>
      <c r="CU30" s="71"/>
      <c r="CV30" s="71"/>
      <c r="CW30" s="71"/>
      <c r="CX30" s="71"/>
      <c r="CY30" s="71"/>
      <c r="CZ30" s="71"/>
      <c r="DA30" s="71"/>
      <c r="DB30" s="71"/>
      <c r="DC30" s="81"/>
      <c r="DD30" s="71"/>
      <c r="DE30" s="71"/>
      <c r="DF30" s="71"/>
      <c r="DG30" s="71"/>
      <c r="DH30" s="71"/>
      <c r="DI30" s="71"/>
      <c r="DJ30" s="71"/>
      <c r="DK30" s="71"/>
      <c r="DL30" s="71"/>
      <c r="DM30" s="71"/>
      <c r="DN30" s="71"/>
      <c r="DO30" s="71"/>
      <c r="DP30" s="71"/>
      <c r="DQ30" s="71"/>
      <c r="DR30" s="71"/>
      <c r="DS30" s="80"/>
    </row>
    <row r="31" spans="2:123" s="82" customFormat="1" ht="12.75" customHeight="1">
      <c r="B31" s="64"/>
      <c r="C31" s="125"/>
      <c r="D31" s="93"/>
      <c r="E31" s="94"/>
      <c r="F31" s="94"/>
      <c r="G31" s="71"/>
      <c r="H31" s="71"/>
      <c r="I31" s="276"/>
      <c r="J31" s="71"/>
      <c r="K31" s="71"/>
      <c r="L31" s="71"/>
      <c r="M31" s="71"/>
      <c r="N31" s="76"/>
      <c r="O31" s="71"/>
      <c r="P31" s="71"/>
      <c r="Q31" s="71"/>
      <c r="R31" s="71"/>
      <c r="S31" s="71"/>
      <c r="T31" s="71"/>
      <c r="U31" s="71"/>
      <c r="V31" s="71"/>
      <c r="W31" s="71"/>
      <c r="X31" s="71"/>
      <c r="Y31" s="71"/>
      <c r="Z31" s="71"/>
      <c r="AA31" s="71"/>
      <c r="AB31" s="71"/>
      <c r="AC31" s="71"/>
      <c r="AD31" s="71"/>
      <c r="AE31" s="71"/>
      <c r="AF31" s="71"/>
      <c r="AG31" s="71"/>
      <c r="AH31" s="71"/>
      <c r="AI31" s="71"/>
      <c r="AJ31" s="71"/>
      <c r="AK31" s="275"/>
      <c r="AL31" s="71"/>
      <c r="AM31" s="71"/>
      <c r="AN31" s="71"/>
      <c r="AO31" s="71"/>
      <c r="AP31" s="71"/>
      <c r="AQ31" s="71"/>
      <c r="AR31" s="81"/>
      <c r="AS31" s="71"/>
      <c r="AT31" s="71"/>
      <c r="AU31" s="71"/>
      <c r="AV31" s="71"/>
      <c r="AW31" s="71"/>
      <c r="AX31" s="71"/>
      <c r="AY31" s="71"/>
      <c r="AZ31" s="71"/>
      <c r="BA31" s="71"/>
      <c r="BB31" s="71"/>
      <c r="BC31" s="71"/>
      <c r="BD31" s="71"/>
      <c r="BE31" s="71"/>
      <c r="BF31" s="71"/>
      <c r="BG31" s="81"/>
      <c r="BH31" s="71"/>
      <c r="BI31" s="71"/>
      <c r="BJ31" s="71"/>
      <c r="BK31" s="71"/>
      <c r="BL31" s="71"/>
      <c r="BM31" s="71"/>
      <c r="BN31" s="71"/>
      <c r="BO31" s="71"/>
      <c r="BP31" s="71"/>
      <c r="BQ31" s="71"/>
      <c r="BR31" s="71"/>
      <c r="BS31" s="81"/>
      <c r="BT31" s="71"/>
      <c r="BU31" s="71"/>
      <c r="BV31" s="64"/>
      <c r="BW31" s="64"/>
      <c r="BX31" s="64"/>
      <c r="BY31" s="64"/>
      <c r="BZ31" s="64"/>
      <c r="CA31" s="64"/>
      <c r="CB31" s="64"/>
      <c r="CC31" s="64"/>
      <c r="CD31" s="64"/>
      <c r="CE31" s="81"/>
      <c r="CF31" s="71"/>
      <c r="CG31" s="71"/>
      <c r="CH31" s="71"/>
      <c r="CI31" s="71"/>
      <c r="CJ31" s="71"/>
      <c r="CK31" s="71"/>
      <c r="CL31" s="71"/>
      <c r="CM31" s="71"/>
      <c r="CN31" s="71"/>
      <c r="CO31" s="71"/>
      <c r="CP31" s="71"/>
      <c r="CQ31" s="81"/>
      <c r="CR31" s="71"/>
      <c r="CS31" s="71"/>
      <c r="CT31" s="71"/>
      <c r="CU31" s="71"/>
      <c r="CV31" s="71"/>
      <c r="CW31" s="71"/>
      <c r="CX31" s="71"/>
      <c r="CY31" s="71"/>
      <c r="CZ31" s="71"/>
      <c r="DA31" s="71"/>
      <c r="DB31" s="71"/>
      <c r="DC31" s="81"/>
      <c r="DD31" s="71"/>
      <c r="DE31" s="71"/>
      <c r="DF31" s="71"/>
      <c r="DG31" s="71"/>
      <c r="DH31" s="71"/>
      <c r="DI31" s="71"/>
      <c r="DJ31" s="71"/>
      <c r="DK31" s="71"/>
      <c r="DL31" s="71"/>
      <c r="DM31" s="71"/>
      <c r="DN31" s="71"/>
      <c r="DO31" s="71"/>
      <c r="DP31" s="71"/>
      <c r="DQ31" s="71"/>
      <c r="DR31" s="71"/>
      <c r="DS31" s="80"/>
    </row>
    <row r="32" spans="2:123" s="82" customFormat="1" ht="11.25" customHeight="1">
      <c r="B32" s="64"/>
      <c r="C32" s="125"/>
      <c r="D32" s="116"/>
      <c r="E32" s="117"/>
      <c r="F32" s="117"/>
      <c r="G32" s="283"/>
      <c r="H32" s="283"/>
      <c r="I32" s="276"/>
      <c r="J32" s="283"/>
      <c r="K32" s="283"/>
      <c r="L32" s="283"/>
      <c r="M32" s="283"/>
      <c r="N32" s="71"/>
      <c r="O32" s="71"/>
      <c r="P32" s="71"/>
      <c r="Q32" s="71"/>
      <c r="R32" s="71"/>
      <c r="S32" s="71"/>
      <c r="T32" s="71"/>
      <c r="U32" s="71"/>
      <c r="V32" s="76" t="s">
        <v>725</v>
      </c>
      <c r="W32" s="71"/>
      <c r="X32" s="284"/>
      <c r="Y32" s="285"/>
      <c r="Z32" s="285"/>
      <c r="AA32" s="285"/>
      <c r="AB32" s="284"/>
      <c r="AC32" s="100"/>
      <c r="AD32" s="100"/>
      <c r="AE32" s="286"/>
      <c r="AF32" s="100"/>
      <c r="AG32" s="221"/>
      <c r="AH32" s="281" t="s">
        <v>35</v>
      </c>
      <c r="AI32" s="114"/>
      <c r="AJ32" s="114"/>
      <c r="AK32" s="119"/>
      <c r="AL32" s="287" t="s">
        <v>35</v>
      </c>
      <c r="AM32" s="100"/>
      <c r="AN32" s="221"/>
      <c r="AO32" s="100"/>
      <c r="AP32" s="100"/>
      <c r="AQ32" s="100"/>
      <c r="AR32" s="288"/>
      <c r="AS32" s="225"/>
      <c r="AT32" s="236"/>
      <c r="AU32" s="1079"/>
      <c r="AV32" s="281" t="s">
        <v>37</v>
      </c>
      <c r="AW32" s="288"/>
      <c r="AX32" s="236"/>
      <c r="AY32" s="100"/>
      <c r="AZ32" s="289" t="s">
        <v>36</v>
      </c>
      <c r="BA32" s="119"/>
      <c r="BB32" s="119"/>
      <c r="BC32" s="119"/>
      <c r="BD32" s="119"/>
      <c r="BE32" s="119"/>
      <c r="BF32" s="119"/>
      <c r="BG32" s="290"/>
      <c r="BH32" s="119"/>
      <c r="BI32" s="119"/>
      <c r="BJ32" s="222"/>
      <c r="BK32" s="100"/>
      <c r="BL32" s="101"/>
      <c r="BM32" s="119"/>
      <c r="BN32" s="119"/>
      <c r="BO32" s="119"/>
      <c r="BP32" s="71"/>
      <c r="BQ32" s="71"/>
      <c r="BR32" s="71"/>
      <c r="BS32" s="81"/>
      <c r="BT32" s="71"/>
      <c r="BU32" s="71"/>
      <c r="BV32" s="64"/>
      <c r="BW32" s="64"/>
      <c r="BX32" s="64"/>
      <c r="BY32" s="64"/>
      <c r="BZ32" s="64"/>
      <c r="CA32" s="64"/>
      <c r="CB32" s="64"/>
      <c r="CC32" s="64"/>
      <c r="CD32" s="64"/>
      <c r="CE32" s="81"/>
      <c r="CF32" s="71"/>
      <c r="CG32" s="71"/>
      <c r="CH32" s="71"/>
      <c r="CI32" s="71"/>
      <c r="CJ32" s="71"/>
      <c r="CK32" s="71"/>
      <c r="CL32" s="71"/>
      <c r="CM32" s="71"/>
      <c r="CN32" s="71"/>
      <c r="CO32" s="71"/>
      <c r="CP32" s="71"/>
      <c r="CQ32" s="81"/>
      <c r="CR32" s="71"/>
      <c r="CS32" s="71"/>
      <c r="CT32" s="71"/>
      <c r="CU32" s="71"/>
      <c r="CV32" s="71"/>
      <c r="CW32" s="71"/>
      <c r="CX32" s="71"/>
      <c r="CY32" s="71"/>
      <c r="CZ32" s="71"/>
      <c r="DA32" s="71"/>
      <c r="DB32" s="71"/>
      <c r="DC32" s="81"/>
      <c r="DD32" s="71"/>
      <c r="DE32" s="71"/>
      <c r="DF32" s="71"/>
      <c r="DG32" s="71"/>
      <c r="DH32" s="71"/>
      <c r="DI32" s="71"/>
      <c r="DJ32" s="71"/>
      <c r="DK32" s="71"/>
      <c r="DL32" s="71"/>
      <c r="DM32" s="71"/>
      <c r="DN32" s="71"/>
      <c r="DO32" s="71"/>
      <c r="DP32" s="71"/>
      <c r="DQ32" s="71"/>
      <c r="DR32" s="71"/>
      <c r="DS32" s="80"/>
    </row>
    <row r="33" spans="2:123" s="82" customFormat="1" ht="5.25" customHeight="1">
      <c r="B33" s="64"/>
      <c r="C33" s="125"/>
      <c r="D33" s="116"/>
      <c r="E33" s="117"/>
      <c r="F33" s="117"/>
      <c r="G33" s="283"/>
      <c r="H33" s="283"/>
      <c r="I33" s="276"/>
      <c r="J33" s="283"/>
      <c r="K33" s="283"/>
      <c r="L33" s="283"/>
      <c r="M33" s="283"/>
      <c r="N33" s="71"/>
      <c r="O33" s="71"/>
      <c r="P33" s="71"/>
      <c r="Q33" s="71"/>
      <c r="R33" s="71"/>
      <c r="S33" s="71"/>
      <c r="T33" s="71"/>
      <c r="U33" s="71"/>
      <c r="V33" s="71"/>
      <c r="W33" s="76"/>
      <c r="X33" s="71"/>
      <c r="Y33" s="71"/>
      <c r="Z33" s="71"/>
      <c r="AA33" s="71"/>
      <c r="AB33" s="71"/>
      <c r="AC33" s="71"/>
      <c r="AD33" s="71"/>
      <c r="AE33" s="278"/>
      <c r="AF33" s="71"/>
      <c r="AG33" s="121"/>
      <c r="AH33" s="291"/>
      <c r="AI33" s="121"/>
      <c r="AJ33" s="121"/>
      <c r="AK33" s="71"/>
      <c r="AL33" s="293"/>
      <c r="AM33" s="71"/>
      <c r="AN33" s="121"/>
      <c r="AO33" s="71"/>
      <c r="AP33" s="71"/>
      <c r="AQ33" s="71"/>
      <c r="AR33" s="292"/>
      <c r="AS33" s="76"/>
      <c r="AT33" s="275"/>
      <c r="AU33" s="275"/>
      <c r="AV33" s="291"/>
      <c r="AW33" s="292"/>
      <c r="AX33" s="275"/>
      <c r="AY33" s="71"/>
      <c r="AZ33" s="1080"/>
      <c r="BA33" s="71"/>
      <c r="BB33" s="71"/>
      <c r="BC33" s="71"/>
      <c r="BD33" s="71"/>
      <c r="BE33" s="71"/>
      <c r="BF33" s="71"/>
      <c r="BG33" s="81"/>
      <c r="BH33" s="71"/>
      <c r="BI33" s="71"/>
      <c r="BJ33" s="71"/>
      <c r="BK33" s="71"/>
      <c r="BL33" s="71"/>
      <c r="BM33" s="71"/>
      <c r="BN33" s="71"/>
      <c r="BO33" s="71"/>
      <c r="BP33" s="71"/>
      <c r="BQ33" s="71"/>
      <c r="BR33" s="71"/>
      <c r="BS33" s="81"/>
      <c r="BT33" s="71"/>
      <c r="BU33" s="71"/>
      <c r="BV33" s="64"/>
      <c r="BW33" s="64"/>
      <c r="BX33" s="64"/>
      <c r="BY33" s="64"/>
      <c r="BZ33" s="64"/>
      <c r="CA33" s="64"/>
      <c r="CB33" s="64"/>
      <c r="CC33" s="64"/>
      <c r="CD33" s="64"/>
      <c r="CE33" s="81"/>
      <c r="CF33" s="71"/>
      <c r="CG33" s="71"/>
      <c r="CH33" s="71"/>
      <c r="CI33" s="71"/>
      <c r="CJ33" s="71"/>
      <c r="CK33" s="71"/>
      <c r="CL33" s="71"/>
      <c r="CM33" s="71"/>
      <c r="CN33" s="71"/>
      <c r="CO33" s="71"/>
      <c r="CP33" s="71"/>
      <c r="CQ33" s="81"/>
      <c r="CR33" s="71"/>
      <c r="CS33" s="71"/>
      <c r="CT33" s="71"/>
      <c r="CU33" s="71"/>
      <c r="CV33" s="71"/>
      <c r="CW33" s="71"/>
      <c r="CX33" s="71"/>
      <c r="CY33" s="71"/>
      <c r="CZ33" s="71"/>
      <c r="DA33" s="71"/>
      <c r="DB33" s="71"/>
      <c r="DC33" s="81"/>
      <c r="DD33" s="71"/>
      <c r="DE33" s="71"/>
      <c r="DF33" s="71"/>
      <c r="DG33" s="71"/>
      <c r="DH33" s="71"/>
      <c r="DI33" s="71"/>
      <c r="DJ33" s="71"/>
      <c r="DK33" s="71"/>
      <c r="DL33" s="71"/>
      <c r="DM33" s="71"/>
      <c r="DN33" s="71"/>
      <c r="DO33" s="71"/>
      <c r="DP33" s="71"/>
      <c r="DQ33" s="71"/>
      <c r="DR33" s="71"/>
      <c r="DS33" s="80"/>
    </row>
    <row r="34" spans="2:123" s="82" customFormat="1" ht="11.25" customHeight="1">
      <c r="B34" s="64"/>
      <c r="C34" s="125"/>
      <c r="D34" s="116"/>
      <c r="E34" s="117"/>
      <c r="F34" s="117"/>
      <c r="G34" s="283"/>
      <c r="H34" s="283"/>
      <c r="I34" s="276"/>
      <c r="J34" s="283"/>
      <c r="K34" s="283"/>
      <c r="L34" s="283"/>
      <c r="M34" s="283"/>
      <c r="N34" s="71"/>
      <c r="O34" s="71"/>
      <c r="P34" s="71"/>
      <c r="Q34" s="71"/>
      <c r="R34" s="71"/>
      <c r="S34" s="71"/>
      <c r="T34" s="71"/>
      <c r="U34" s="71"/>
      <c r="V34" s="71"/>
      <c r="W34" s="76"/>
      <c r="X34" s="71"/>
      <c r="Y34" s="71"/>
      <c r="Z34" s="71"/>
      <c r="AA34" s="71"/>
      <c r="AB34" s="71"/>
      <c r="AC34" s="71"/>
      <c r="AD34" s="71"/>
      <c r="AE34" s="278"/>
      <c r="AF34" s="71"/>
      <c r="AG34" s="121"/>
      <c r="AH34" s="291"/>
      <c r="AI34" s="121"/>
      <c r="AJ34" s="121"/>
      <c r="AK34" s="71"/>
      <c r="AL34" s="293"/>
      <c r="AM34" s="71"/>
      <c r="AN34" s="121"/>
      <c r="AO34" s="71"/>
      <c r="AP34" s="71"/>
      <c r="AQ34" s="71"/>
      <c r="AR34" s="292"/>
      <c r="AS34" s="76"/>
      <c r="AT34" s="275"/>
      <c r="AU34" s="275"/>
      <c r="AV34" s="291"/>
      <c r="AW34" s="292"/>
      <c r="AX34" s="275"/>
      <c r="AY34" s="71"/>
      <c r="AZ34" s="1080"/>
      <c r="BA34" s="76" t="s">
        <v>722</v>
      </c>
      <c r="BB34" s="71"/>
      <c r="BC34" s="71"/>
      <c r="BD34" s="222"/>
      <c r="BE34" s="100"/>
      <c r="BF34" s="100"/>
      <c r="BG34" s="100"/>
      <c r="BH34" s="100"/>
      <c r="BI34" s="100"/>
      <c r="BJ34" s="100"/>
      <c r="BK34" s="100"/>
      <c r="BL34" s="100"/>
      <c r="BM34" s="100"/>
      <c r="BN34" s="100"/>
      <c r="BO34" s="100"/>
      <c r="BP34" s="222"/>
      <c r="BQ34" s="120"/>
      <c r="BR34" s="120"/>
      <c r="BS34" s="120"/>
      <c r="BT34" s="299"/>
      <c r="BU34" s="71"/>
      <c r="BV34" s="64"/>
      <c r="BW34" s="64"/>
      <c r="BX34" s="64"/>
      <c r="BY34" s="64"/>
      <c r="BZ34" s="64"/>
      <c r="CA34" s="64"/>
      <c r="CB34" s="64"/>
      <c r="CC34" s="64"/>
      <c r="CD34" s="64"/>
      <c r="CE34" s="81"/>
      <c r="CF34" s="71"/>
      <c r="CG34" s="71"/>
      <c r="CH34" s="71"/>
      <c r="CI34" s="71"/>
      <c r="CJ34" s="71"/>
      <c r="CK34" s="71"/>
      <c r="CL34" s="71"/>
      <c r="CM34" s="71"/>
      <c r="CN34" s="71"/>
      <c r="CO34" s="71"/>
      <c r="CP34" s="71"/>
      <c r="CQ34" s="81"/>
      <c r="CR34" s="71"/>
      <c r="CS34" s="71"/>
      <c r="CT34" s="71"/>
      <c r="CU34" s="71"/>
      <c r="CV34" s="71"/>
      <c r="CW34" s="71"/>
      <c r="CX34" s="71"/>
      <c r="CY34" s="71"/>
      <c r="CZ34" s="71"/>
      <c r="DA34" s="71"/>
      <c r="DB34" s="71"/>
      <c r="DC34" s="81"/>
      <c r="DD34" s="71"/>
      <c r="DE34" s="71"/>
      <c r="DF34" s="71"/>
      <c r="DG34" s="71"/>
      <c r="DH34" s="71"/>
      <c r="DI34" s="71"/>
      <c r="DJ34" s="71"/>
      <c r="DK34" s="71"/>
      <c r="DL34" s="71"/>
      <c r="DM34" s="71"/>
      <c r="DN34" s="71"/>
      <c r="DO34" s="71"/>
      <c r="DP34" s="71"/>
      <c r="DQ34" s="71"/>
      <c r="DR34" s="71"/>
      <c r="DS34" s="80"/>
    </row>
    <row r="35" spans="2:123" s="82" customFormat="1" ht="6.75" customHeight="1">
      <c r="B35" s="64"/>
      <c r="C35" s="125"/>
      <c r="D35" s="116"/>
      <c r="E35" s="117"/>
      <c r="F35" s="117"/>
      <c r="G35" s="283"/>
      <c r="H35" s="283"/>
      <c r="I35" s="276"/>
      <c r="J35" s="283"/>
      <c r="K35" s="283"/>
      <c r="L35" s="283"/>
      <c r="M35" s="283"/>
      <c r="N35" s="71"/>
      <c r="O35" s="71"/>
      <c r="P35" s="71"/>
      <c r="Q35" s="71"/>
      <c r="R35" s="71"/>
      <c r="S35" s="71"/>
      <c r="T35" s="71"/>
      <c r="U35" s="71"/>
      <c r="V35" s="71"/>
      <c r="W35" s="76"/>
      <c r="X35" s="71"/>
      <c r="Y35" s="71"/>
      <c r="Z35" s="71"/>
      <c r="AA35" s="71"/>
      <c r="AB35" s="71"/>
      <c r="AC35" s="71"/>
      <c r="AD35" s="71"/>
      <c r="AE35" s="278"/>
      <c r="AF35" s="71"/>
      <c r="AG35" s="121"/>
      <c r="AH35" s="291"/>
      <c r="AI35" s="121"/>
      <c r="AJ35" s="121"/>
      <c r="AK35" s="121"/>
      <c r="AL35" s="291"/>
      <c r="AM35" s="121"/>
      <c r="AN35" s="292"/>
      <c r="AO35" s="293"/>
      <c r="AP35" s="121"/>
      <c r="AQ35" s="121"/>
      <c r="AR35" s="81"/>
      <c r="AS35" s="71"/>
      <c r="AT35" s="71"/>
      <c r="AU35" s="71"/>
      <c r="AV35" s="71"/>
      <c r="AW35" s="71"/>
      <c r="AX35" s="71"/>
      <c r="AY35" s="71"/>
      <c r="AZ35" s="71"/>
      <c r="BA35" s="71"/>
      <c r="BB35" s="71"/>
      <c r="BC35" s="71"/>
      <c r="BD35" s="71"/>
      <c r="BE35" s="71"/>
      <c r="BF35" s="71"/>
      <c r="BG35" s="81"/>
      <c r="BH35" s="71"/>
      <c r="BI35" s="71"/>
      <c r="BJ35" s="71"/>
      <c r="BK35" s="71"/>
      <c r="BL35" s="71"/>
      <c r="BM35" s="71"/>
      <c r="BN35" s="71"/>
      <c r="BO35" s="71"/>
      <c r="BP35" s="71"/>
      <c r="BQ35" s="71"/>
      <c r="BR35" s="71"/>
      <c r="BS35" s="81"/>
      <c r="BT35" s="71"/>
      <c r="BU35" s="71"/>
      <c r="BV35" s="64"/>
      <c r="BW35" s="64"/>
      <c r="BX35" s="64"/>
      <c r="BY35" s="64"/>
      <c r="BZ35" s="64"/>
      <c r="CA35" s="64"/>
      <c r="CB35" s="64"/>
      <c r="CC35" s="64"/>
      <c r="CD35" s="64"/>
      <c r="CE35" s="81"/>
      <c r="CF35" s="71"/>
      <c r="CG35" s="71"/>
      <c r="CH35" s="71"/>
      <c r="CI35" s="71"/>
      <c r="CJ35" s="71"/>
      <c r="CK35" s="71"/>
      <c r="CL35" s="71"/>
      <c r="CM35" s="71"/>
      <c r="CN35" s="71"/>
      <c r="CO35" s="71"/>
      <c r="CP35" s="71"/>
      <c r="CQ35" s="81"/>
      <c r="CR35" s="71"/>
      <c r="CS35" s="71"/>
      <c r="CT35" s="71"/>
      <c r="CU35" s="71"/>
      <c r="CV35" s="71"/>
      <c r="CW35" s="71"/>
      <c r="CX35" s="71"/>
      <c r="CY35" s="71"/>
      <c r="CZ35" s="71"/>
      <c r="DA35" s="71"/>
      <c r="DB35" s="71"/>
      <c r="DC35" s="81"/>
      <c r="DD35" s="71"/>
      <c r="DE35" s="71"/>
      <c r="DF35" s="71"/>
      <c r="DG35" s="71"/>
      <c r="DH35" s="71"/>
      <c r="DI35" s="71"/>
      <c r="DJ35" s="71"/>
      <c r="DK35" s="71"/>
      <c r="DL35" s="71"/>
      <c r="DM35" s="71"/>
      <c r="DN35" s="71"/>
      <c r="DO35" s="71"/>
      <c r="DP35" s="71"/>
      <c r="DQ35" s="71"/>
      <c r="DR35" s="71"/>
      <c r="DS35" s="80"/>
    </row>
    <row r="36" spans="2:123" s="82" customFormat="1" ht="11.25" customHeight="1">
      <c r="B36" s="64"/>
      <c r="C36" s="125"/>
      <c r="D36" s="116"/>
      <c r="E36" s="117"/>
      <c r="F36" s="117"/>
      <c r="G36" s="283"/>
      <c r="H36" s="283"/>
      <c r="I36" s="276"/>
      <c r="J36" s="283"/>
      <c r="K36" s="283"/>
      <c r="L36" s="283"/>
      <c r="M36" s="283"/>
      <c r="N36" s="71"/>
      <c r="O36" s="71"/>
      <c r="P36" s="71"/>
      <c r="Q36" s="71"/>
      <c r="R36" s="71"/>
      <c r="S36" s="71"/>
      <c r="T36" s="71"/>
      <c r="U36" s="71"/>
      <c r="V36" s="71"/>
      <c r="W36" s="76"/>
      <c r="X36" s="71"/>
      <c r="Y36" s="71"/>
      <c r="Z36" s="71"/>
      <c r="AA36" s="71"/>
      <c r="AB36" s="71"/>
      <c r="AC36" s="71"/>
      <c r="AD36" s="71"/>
      <c r="AE36" s="278"/>
      <c r="AF36" s="71"/>
      <c r="AG36" s="121"/>
      <c r="AH36" s="291"/>
      <c r="AI36" s="121"/>
      <c r="AJ36" s="71"/>
      <c r="AK36" s="121"/>
      <c r="AL36" s="279" t="s">
        <v>723</v>
      </c>
      <c r="AM36" s="71"/>
      <c r="AN36" s="292"/>
      <c r="AO36" s="287"/>
      <c r="AP36" s="114"/>
      <c r="AQ36" s="114"/>
      <c r="AR36" s="100"/>
      <c r="AS36" s="222"/>
      <c r="AT36" s="100"/>
      <c r="AU36" s="100"/>
      <c r="AV36" s="100"/>
      <c r="AW36" s="100"/>
      <c r="AX36" s="100"/>
      <c r="AY36" s="100"/>
      <c r="AZ36" s="100"/>
      <c r="BA36" s="100"/>
      <c r="BB36" s="100"/>
      <c r="BC36" s="100"/>
      <c r="BD36" s="100"/>
      <c r="BE36" s="100"/>
      <c r="BF36" s="100"/>
      <c r="BG36" s="100"/>
      <c r="BH36" s="100"/>
      <c r="BI36" s="100"/>
      <c r="BJ36" s="222"/>
      <c r="BK36" s="100"/>
      <c r="BL36" s="100"/>
      <c r="BM36" s="100"/>
      <c r="BN36" s="100"/>
      <c r="BO36" s="100"/>
      <c r="BP36" s="71"/>
      <c r="BQ36" s="71"/>
      <c r="BR36" s="71"/>
      <c r="BS36" s="71"/>
      <c r="BT36" s="71"/>
      <c r="BU36" s="71"/>
      <c r="BV36" s="64"/>
      <c r="BW36" s="64"/>
      <c r="BX36" s="64"/>
      <c r="BY36" s="64"/>
      <c r="BZ36" s="64"/>
      <c r="CA36" s="64"/>
      <c r="CB36" s="64"/>
      <c r="CC36" s="64"/>
      <c r="CD36" s="64"/>
      <c r="CE36" s="81"/>
      <c r="CF36" s="71"/>
      <c r="CG36" s="71"/>
      <c r="CH36" s="71"/>
      <c r="CI36" s="71"/>
      <c r="CJ36" s="71"/>
      <c r="CK36" s="71"/>
      <c r="CL36" s="71"/>
      <c r="CM36" s="71"/>
      <c r="CN36" s="71"/>
      <c r="CO36" s="71"/>
      <c r="CP36" s="71"/>
      <c r="CQ36" s="81"/>
      <c r="CR36" s="71"/>
      <c r="CS36" s="71"/>
      <c r="CT36" s="71"/>
      <c r="CU36" s="71"/>
      <c r="CV36" s="71"/>
      <c r="CW36" s="71"/>
      <c r="CX36" s="71"/>
      <c r="CY36" s="71"/>
      <c r="CZ36" s="71"/>
      <c r="DA36" s="71"/>
      <c r="DB36" s="71"/>
      <c r="DC36" s="81"/>
      <c r="DD36" s="71"/>
      <c r="DE36" s="71"/>
      <c r="DF36" s="71"/>
      <c r="DG36" s="71"/>
      <c r="DH36" s="71"/>
      <c r="DI36" s="71"/>
      <c r="DJ36" s="71"/>
      <c r="DK36" s="71"/>
      <c r="DL36" s="71"/>
      <c r="DM36" s="71"/>
      <c r="DN36" s="71"/>
      <c r="DO36" s="71"/>
      <c r="DP36" s="71"/>
      <c r="DQ36" s="71"/>
      <c r="DR36" s="71"/>
      <c r="DS36" s="80"/>
    </row>
    <row r="37" spans="2:123" s="82" customFormat="1" ht="14.25" customHeight="1" hidden="1">
      <c r="B37" s="64"/>
      <c r="C37" s="125"/>
      <c r="D37" s="116"/>
      <c r="E37" s="117"/>
      <c r="F37" s="117"/>
      <c r="G37" s="283"/>
      <c r="H37" s="283"/>
      <c r="I37" s="276"/>
      <c r="J37" s="283"/>
      <c r="K37" s="283"/>
      <c r="L37" s="283"/>
      <c r="M37" s="283"/>
      <c r="N37" s="71"/>
      <c r="O37" s="71"/>
      <c r="P37" s="71"/>
      <c r="Q37" s="71"/>
      <c r="R37" s="71"/>
      <c r="S37" s="71"/>
      <c r="T37" s="71"/>
      <c r="U37" s="71"/>
      <c r="V37" s="71"/>
      <c r="W37" s="76"/>
      <c r="X37" s="71"/>
      <c r="Y37" s="71"/>
      <c r="Z37" s="71"/>
      <c r="AA37" s="71"/>
      <c r="AB37" s="71"/>
      <c r="AC37" s="71"/>
      <c r="AD37" s="71"/>
      <c r="AE37" s="278"/>
      <c r="AF37" s="71"/>
      <c r="AG37" s="121"/>
      <c r="AH37" s="291"/>
      <c r="AI37" s="121"/>
      <c r="AJ37" s="121"/>
      <c r="AK37" s="121"/>
      <c r="AL37" s="291"/>
      <c r="AM37" s="121"/>
      <c r="AN37" s="292"/>
      <c r="AO37" s="293"/>
      <c r="AP37" s="121"/>
      <c r="AQ37" s="121"/>
      <c r="AR37" s="81"/>
      <c r="AS37" s="71"/>
      <c r="AT37" s="71"/>
      <c r="AU37" s="71"/>
      <c r="AV37" s="71"/>
      <c r="AW37" s="71"/>
      <c r="AX37" s="71"/>
      <c r="AY37" s="71"/>
      <c r="AZ37" s="71"/>
      <c r="BA37" s="71"/>
      <c r="BB37" s="71"/>
      <c r="BC37" s="71"/>
      <c r="BD37" s="71"/>
      <c r="BE37" s="71"/>
      <c r="BF37" s="71"/>
      <c r="BG37" s="81"/>
      <c r="BH37" s="71"/>
      <c r="BI37" s="71"/>
      <c r="BJ37" s="71"/>
      <c r="BK37" s="71"/>
      <c r="BL37" s="71"/>
      <c r="BM37" s="71"/>
      <c r="BN37" s="71"/>
      <c r="BO37" s="71"/>
      <c r="BP37" s="71"/>
      <c r="BQ37" s="71"/>
      <c r="BR37" s="71"/>
      <c r="BS37" s="81"/>
      <c r="BT37" s="71"/>
      <c r="BU37" s="71"/>
      <c r="BV37" s="64"/>
      <c r="BW37" s="64"/>
      <c r="BX37" s="64"/>
      <c r="BY37" s="64"/>
      <c r="BZ37" s="64"/>
      <c r="CA37" s="64"/>
      <c r="CB37" s="64"/>
      <c r="CC37" s="64"/>
      <c r="CD37" s="64"/>
      <c r="CE37" s="81"/>
      <c r="CF37" s="71"/>
      <c r="CG37" s="71"/>
      <c r="CH37" s="71"/>
      <c r="CI37" s="71"/>
      <c r="CJ37" s="71"/>
      <c r="CK37" s="71"/>
      <c r="CL37" s="71"/>
      <c r="CM37" s="71"/>
      <c r="CN37" s="71"/>
      <c r="CO37" s="71"/>
      <c r="CP37" s="71"/>
      <c r="CQ37" s="81"/>
      <c r="CR37" s="71"/>
      <c r="CS37" s="71"/>
      <c r="CT37" s="71"/>
      <c r="CU37" s="71"/>
      <c r="CV37" s="71"/>
      <c r="CW37" s="71"/>
      <c r="CX37" s="71"/>
      <c r="CY37" s="71"/>
      <c r="CZ37" s="71"/>
      <c r="DA37" s="71"/>
      <c r="DB37" s="71"/>
      <c r="DC37" s="81"/>
      <c r="DD37" s="71"/>
      <c r="DE37" s="71"/>
      <c r="DF37" s="71"/>
      <c r="DG37" s="71"/>
      <c r="DH37" s="71"/>
      <c r="DI37" s="71"/>
      <c r="DJ37" s="71"/>
      <c r="DK37" s="71"/>
      <c r="DL37" s="71"/>
      <c r="DM37" s="71"/>
      <c r="DN37" s="71"/>
      <c r="DO37" s="71"/>
      <c r="DP37" s="71"/>
      <c r="DQ37" s="71"/>
      <c r="DR37" s="71"/>
      <c r="DS37" s="80"/>
    </row>
    <row r="38" spans="2:123" s="82" customFormat="1" ht="3" customHeight="1" hidden="1">
      <c r="B38" s="64"/>
      <c r="C38" s="125"/>
      <c r="D38" s="93"/>
      <c r="E38" s="94"/>
      <c r="F38" s="94"/>
      <c r="G38" s="71"/>
      <c r="H38" s="71"/>
      <c r="I38" s="276"/>
      <c r="J38" s="71"/>
      <c r="K38" s="71"/>
      <c r="L38" s="71"/>
      <c r="M38" s="71"/>
      <c r="N38" s="71"/>
      <c r="O38" s="71"/>
      <c r="P38" s="71"/>
      <c r="Q38" s="71"/>
      <c r="R38" s="71"/>
      <c r="S38" s="71"/>
      <c r="T38" s="71"/>
      <c r="U38" s="71"/>
      <c r="V38" s="71"/>
      <c r="W38" s="71"/>
      <c r="X38" s="283"/>
      <c r="Y38" s="283"/>
      <c r="Z38" s="283"/>
      <c r="AA38" s="283"/>
      <c r="AB38" s="71"/>
      <c r="AC38" s="71"/>
      <c r="AD38" s="71"/>
      <c r="AE38" s="71"/>
      <c r="AF38" s="81"/>
      <c r="AG38" s="71"/>
      <c r="AH38" s="71"/>
      <c r="AI38" s="71"/>
      <c r="AJ38" s="71"/>
      <c r="AK38" s="275"/>
      <c r="AL38" s="71"/>
      <c r="AM38" s="71"/>
      <c r="AN38" s="71"/>
      <c r="AO38" s="71"/>
      <c r="AP38" s="71"/>
      <c r="AQ38" s="71"/>
      <c r="AR38" s="81"/>
      <c r="AS38" s="71"/>
      <c r="AT38" s="71"/>
      <c r="AU38" s="71"/>
      <c r="AV38" s="71"/>
      <c r="AW38" s="71"/>
      <c r="AX38" s="71"/>
      <c r="AY38" s="71"/>
      <c r="AZ38" s="71"/>
      <c r="BA38" s="71"/>
      <c r="BB38" s="71"/>
      <c r="BC38" s="71"/>
      <c r="BD38" s="71"/>
      <c r="BE38" s="71"/>
      <c r="BF38" s="71"/>
      <c r="BG38" s="81"/>
      <c r="BH38" s="71"/>
      <c r="BI38" s="71"/>
      <c r="BJ38" s="71"/>
      <c r="BK38" s="71"/>
      <c r="BL38" s="71"/>
      <c r="BM38" s="71"/>
      <c r="BN38" s="71"/>
      <c r="BO38" s="71"/>
      <c r="BP38" s="71"/>
      <c r="BQ38" s="71"/>
      <c r="BR38" s="71"/>
      <c r="BS38" s="81"/>
      <c r="BT38" s="71"/>
      <c r="BU38" s="71"/>
      <c r="BV38" s="64"/>
      <c r="BW38" s="64"/>
      <c r="BX38" s="64"/>
      <c r="BY38" s="64"/>
      <c r="BZ38" s="64"/>
      <c r="CA38" s="64"/>
      <c r="CB38" s="64"/>
      <c r="CC38" s="64"/>
      <c r="CD38" s="64"/>
      <c r="CE38" s="81"/>
      <c r="CF38" s="71"/>
      <c r="CG38" s="71"/>
      <c r="CH38" s="71"/>
      <c r="CI38" s="71"/>
      <c r="CJ38" s="71"/>
      <c r="CK38" s="71"/>
      <c r="CL38" s="71"/>
      <c r="CM38" s="71"/>
      <c r="CN38" s="71"/>
      <c r="CO38" s="71"/>
      <c r="CP38" s="71"/>
      <c r="CQ38" s="81"/>
      <c r="CR38" s="71"/>
      <c r="CS38" s="71"/>
      <c r="CT38" s="71"/>
      <c r="CU38" s="71"/>
      <c r="CV38" s="71"/>
      <c r="CW38" s="71"/>
      <c r="CX38" s="71"/>
      <c r="CY38" s="71"/>
      <c r="CZ38" s="71"/>
      <c r="DA38" s="71"/>
      <c r="DB38" s="71"/>
      <c r="DC38" s="81"/>
      <c r="DD38" s="71"/>
      <c r="DE38" s="71"/>
      <c r="DF38" s="71"/>
      <c r="DG38" s="71"/>
      <c r="DH38" s="71"/>
      <c r="DI38" s="71"/>
      <c r="DJ38" s="71"/>
      <c r="DK38" s="71"/>
      <c r="DL38" s="71"/>
      <c r="DM38" s="71"/>
      <c r="DN38" s="71"/>
      <c r="DO38" s="71"/>
      <c r="DP38" s="71"/>
      <c r="DQ38" s="71"/>
      <c r="DR38" s="71"/>
      <c r="DS38" s="80"/>
    </row>
    <row r="39" spans="2:123" s="72" customFormat="1" ht="11.25" customHeight="1">
      <c r="B39" s="97"/>
      <c r="C39" s="1102"/>
      <c r="D39" s="93"/>
      <c r="E39" s="94"/>
      <c r="F39" s="94"/>
      <c r="G39" s="71"/>
      <c r="H39" s="71"/>
      <c r="I39" s="276"/>
      <c r="J39" s="71"/>
      <c r="K39" s="71"/>
      <c r="L39" s="71"/>
      <c r="M39" s="71"/>
      <c r="N39" s="222"/>
      <c r="O39" s="100"/>
      <c r="P39" s="100"/>
      <c r="Q39" s="100"/>
      <c r="R39" s="100"/>
      <c r="S39" s="100"/>
      <c r="T39" s="100"/>
      <c r="U39" s="71"/>
      <c r="V39" s="71" t="s">
        <v>38</v>
      </c>
      <c r="W39" s="71"/>
      <c r="X39" s="283"/>
      <c r="Y39" s="283"/>
      <c r="Z39" s="283"/>
      <c r="AA39" s="283"/>
      <c r="AB39" s="71"/>
      <c r="AC39" s="71"/>
      <c r="AD39" s="71"/>
      <c r="AE39" s="71"/>
      <c r="AF39" s="81"/>
      <c r="AG39" s="71"/>
      <c r="AH39" s="71"/>
      <c r="AI39" s="71"/>
      <c r="AJ39" s="71"/>
      <c r="AK39" s="275"/>
      <c r="AL39" s="71"/>
      <c r="AM39" s="71"/>
      <c r="AN39" s="71"/>
      <c r="AO39" s="71"/>
      <c r="AP39" s="71"/>
      <c r="AQ39" s="71"/>
      <c r="AR39" s="81"/>
      <c r="AS39" s="71"/>
      <c r="AT39" s="71"/>
      <c r="AU39" s="71"/>
      <c r="AV39" s="71"/>
      <c r="AW39" s="71"/>
      <c r="AX39" s="71"/>
      <c r="AY39" s="71"/>
      <c r="AZ39" s="71"/>
      <c r="BA39" s="71"/>
      <c r="BB39" s="71"/>
      <c r="BC39" s="71"/>
      <c r="BD39" s="71"/>
      <c r="BE39" s="71"/>
      <c r="BF39" s="71"/>
      <c r="BG39" s="81"/>
      <c r="BH39" s="71"/>
      <c r="BI39" s="71"/>
      <c r="BJ39" s="78"/>
      <c r="BK39" s="78"/>
      <c r="BL39" s="78"/>
      <c r="BM39" s="78"/>
      <c r="BN39" s="78"/>
      <c r="BO39" s="78"/>
      <c r="BP39" s="78"/>
      <c r="BQ39" s="78"/>
      <c r="BR39" s="78"/>
      <c r="BS39" s="79"/>
      <c r="BT39" s="78"/>
      <c r="BU39" s="78"/>
      <c r="BV39" s="97"/>
      <c r="BW39" s="97"/>
      <c r="BX39" s="97"/>
      <c r="BY39" s="97"/>
      <c r="BZ39" s="64"/>
      <c r="CA39" s="64"/>
      <c r="CB39" s="64"/>
      <c r="CC39" s="97"/>
      <c r="CD39" s="64"/>
      <c r="CE39" s="79"/>
      <c r="CF39" s="78"/>
      <c r="CG39" s="71"/>
      <c r="CH39" s="78"/>
      <c r="CI39" s="71"/>
      <c r="CJ39" s="71"/>
      <c r="CK39" s="71"/>
      <c r="CL39" s="71"/>
      <c r="CM39" s="71"/>
      <c r="CN39" s="71"/>
      <c r="CO39" s="71"/>
      <c r="CP39" s="71"/>
      <c r="CQ39" s="81"/>
      <c r="CR39" s="78"/>
      <c r="CS39" s="71"/>
      <c r="CT39" s="78"/>
      <c r="CU39" s="71"/>
      <c r="CV39" s="71"/>
      <c r="CW39" s="71"/>
      <c r="CX39" s="71"/>
      <c r="CY39" s="71"/>
      <c r="CZ39" s="71"/>
      <c r="DA39" s="71"/>
      <c r="DB39" s="71"/>
      <c r="DC39" s="81"/>
      <c r="DD39" s="78"/>
      <c r="DE39" s="71"/>
      <c r="DF39" s="78"/>
      <c r="DG39" s="71"/>
      <c r="DH39" s="71"/>
      <c r="DI39" s="71"/>
      <c r="DJ39" s="71"/>
      <c r="DK39" s="71"/>
      <c r="DL39" s="71"/>
      <c r="DM39" s="71"/>
      <c r="DN39" s="71"/>
      <c r="DO39" s="71"/>
      <c r="DP39" s="78"/>
      <c r="DQ39" s="78"/>
      <c r="DR39" s="78"/>
      <c r="DS39" s="1099"/>
    </row>
    <row r="40" spans="2:123" s="72" customFormat="1" ht="3.75" customHeight="1">
      <c r="B40" s="97"/>
      <c r="C40" s="1102"/>
      <c r="D40" s="93"/>
      <c r="E40" s="94"/>
      <c r="F40" s="94"/>
      <c r="G40" s="71"/>
      <c r="H40" s="71"/>
      <c r="I40" s="276"/>
      <c r="J40" s="71"/>
      <c r="K40" s="71"/>
      <c r="L40" s="71"/>
      <c r="M40" s="76"/>
      <c r="N40" s="71"/>
      <c r="O40" s="71"/>
      <c r="P40" s="71"/>
      <c r="Q40" s="71"/>
      <c r="R40" s="71"/>
      <c r="S40" s="71"/>
      <c r="T40" s="71"/>
      <c r="U40" s="71"/>
      <c r="V40" s="71"/>
      <c r="W40" s="71"/>
      <c r="X40" s="283"/>
      <c r="Y40" s="283"/>
      <c r="Z40" s="283"/>
      <c r="AA40" s="283"/>
      <c r="AB40" s="71"/>
      <c r="AC40" s="71"/>
      <c r="AD40" s="71"/>
      <c r="AE40" s="71"/>
      <c r="AF40" s="81"/>
      <c r="AG40" s="71"/>
      <c r="AH40" s="71"/>
      <c r="AI40" s="71"/>
      <c r="AJ40" s="71"/>
      <c r="AK40" s="275"/>
      <c r="AL40" s="71"/>
      <c r="AM40" s="71"/>
      <c r="AN40" s="71"/>
      <c r="AO40" s="71"/>
      <c r="AP40" s="71"/>
      <c r="AQ40" s="71"/>
      <c r="AR40" s="81"/>
      <c r="AS40" s="71"/>
      <c r="AT40" s="71"/>
      <c r="AU40" s="71"/>
      <c r="AV40" s="71"/>
      <c r="AW40" s="71"/>
      <c r="AX40" s="71"/>
      <c r="AY40" s="71"/>
      <c r="AZ40" s="71"/>
      <c r="BA40" s="71"/>
      <c r="BB40" s="71"/>
      <c r="BC40" s="71"/>
      <c r="BD40" s="71"/>
      <c r="BE40" s="71"/>
      <c r="BF40" s="71"/>
      <c r="BG40" s="81"/>
      <c r="BH40" s="71"/>
      <c r="BI40" s="71"/>
      <c r="BJ40" s="78"/>
      <c r="BK40" s="78"/>
      <c r="BL40" s="78"/>
      <c r="BM40" s="78"/>
      <c r="BN40" s="78"/>
      <c r="BO40" s="78"/>
      <c r="BP40" s="78"/>
      <c r="BQ40" s="78"/>
      <c r="BR40" s="78"/>
      <c r="BS40" s="79"/>
      <c r="BT40" s="78"/>
      <c r="BU40" s="78"/>
      <c r="BV40" s="97"/>
      <c r="BW40" s="97"/>
      <c r="BX40" s="97"/>
      <c r="BY40" s="97"/>
      <c r="BZ40" s="64"/>
      <c r="CA40" s="64"/>
      <c r="CB40" s="64"/>
      <c r="CC40" s="97"/>
      <c r="CD40" s="64"/>
      <c r="CE40" s="79"/>
      <c r="CF40" s="78"/>
      <c r="CG40" s="71"/>
      <c r="CH40" s="78"/>
      <c r="CI40" s="71"/>
      <c r="CJ40" s="71"/>
      <c r="CK40" s="71"/>
      <c r="CL40" s="71"/>
      <c r="CM40" s="71"/>
      <c r="CN40" s="71"/>
      <c r="CO40" s="71"/>
      <c r="CP40" s="71"/>
      <c r="CQ40" s="81"/>
      <c r="CR40" s="78"/>
      <c r="CS40" s="71"/>
      <c r="CT40" s="78"/>
      <c r="CU40" s="71"/>
      <c r="CV40" s="71"/>
      <c r="CW40" s="71"/>
      <c r="CX40" s="71"/>
      <c r="CY40" s="71"/>
      <c r="CZ40" s="71"/>
      <c r="DA40" s="71"/>
      <c r="DB40" s="71"/>
      <c r="DC40" s="81"/>
      <c r="DD40" s="78"/>
      <c r="DE40" s="71"/>
      <c r="DF40" s="78"/>
      <c r="DG40" s="71"/>
      <c r="DH40" s="71"/>
      <c r="DI40" s="71"/>
      <c r="DJ40" s="71"/>
      <c r="DK40" s="71"/>
      <c r="DL40" s="71"/>
      <c r="DM40" s="71"/>
      <c r="DN40" s="71"/>
      <c r="DO40" s="71"/>
      <c r="DP40" s="78"/>
      <c r="DQ40" s="78"/>
      <c r="DR40" s="78"/>
      <c r="DS40" s="1099"/>
    </row>
    <row r="41" spans="2:123" s="72" customFormat="1" ht="11.25" customHeight="1">
      <c r="B41" s="97"/>
      <c r="C41" s="1102"/>
      <c r="D41" s="93"/>
      <c r="E41" s="94"/>
      <c r="F41" s="94"/>
      <c r="G41" s="71"/>
      <c r="H41" s="71"/>
      <c r="I41" s="276"/>
      <c r="J41" s="71"/>
      <c r="K41" s="71"/>
      <c r="L41" s="71"/>
      <c r="M41" s="76"/>
      <c r="N41" s="71"/>
      <c r="O41" s="71"/>
      <c r="P41" s="71"/>
      <c r="Q41" s="71"/>
      <c r="R41" s="71"/>
      <c r="S41" s="71"/>
      <c r="T41" s="78"/>
      <c r="U41" s="222"/>
      <c r="V41" s="100"/>
      <c r="W41" s="100"/>
      <c r="X41" s="100"/>
      <c r="Y41" s="100"/>
      <c r="Z41" s="100"/>
      <c r="AA41" s="100"/>
      <c r="AB41" s="100"/>
      <c r="AC41" s="101"/>
      <c r="AD41" s="71"/>
      <c r="AE41" s="275" t="s">
        <v>39</v>
      </c>
      <c r="AF41" s="81"/>
      <c r="AG41" s="78"/>
      <c r="AH41" s="71"/>
      <c r="AI41" s="71"/>
      <c r="AJ41" s="71"/>
      <c r="AK41" s="275"/>
      <c r="AL41" s="71"/>
      <c r="AM41" s="71"/>
      <c r="AN41" s="71"/>
      <c r="AO41" s="71"/>
      <c r="AP41" s="71"/>
      <c r="AQ41" s="71"/>
      <c r="AR41" s="81"/>
      <c r="AS41" s="71"/>
      <c r="AT41" s="294"/>
      <c r="AU41" s="294"/>
      <c r="AV41" s="295"/>
      <c r="AW41" s="78"/>
      <c r="AX41" s="296"/>
      <c r="AY41" s="78"/>
      <c r="AZ41" s="294"/>
      <c r="BA41" s="294"/>
      <c r="BB41" s="294"/>
      <c r="BC41" s="294"/>
      <c r="BD41" s="294"/>
      <c r="BE41" s="294"/>
      <c r="BF41" s="294"/>
      <c r="BG41" s="297"/>
      <c r="BH41" s="78"/>
      <c r="BI41" s="78"/>
      <c r="BJ41" s="298"/>
      <c r="BK41" s="295"/>
      <c r="BL41" s="295"/>
      <c r="BM41" s="78"/>
      <c r="BN41" s="78"/>
      <c r="BO41" s="78"/>
      <c r="BP41" s="78"/>
      <c r="BQ41" s="78"/>
      <c r="BR41" s="78"/>
      <c r="BS41" s="79"/>
      <c r="BT41" s="78"/>
      <c r="BU41" s="78"/>
      <c r="BV41" s="97"/>
      <c r="BW41" s="97"/>
      <c r="BX41" s="97"/>
      <c r="BY41" s="97"/>
      <c r="BZ41" s="64"/>
      <c r="CA41" s="64"/>
      <c r="CB41" s="64"/>
      <c r="CC41" s="97"/>
      <c r="CD41" s="64"/>
      <c r="CE41" s="79"/>
      <c r="CF41" s="78"/>
      <c r="CG41" s="71"/>
      <c r="CH41" s="78"/>
      <c r="CI41" s="71"/>
      <c r="CJ41" s="71"/>
      <c r="CK41" s="71"/>
      <c r="CL41" s="71"/>
      <c r="CM41" s="71"/>
      <c r="CN41" s="71"/>
      <c r="CO41" s="71"/>
      <c r="CP41" s="71"/>
      <c r="CQ41" s="81"/>
      <c r="CR41" s="78"/>
      <c r="CS41" s="71"/>
      <c r="CT41" s="78"/>
      <c r="CU41" s="71"/>
      <c r="CV41" s="71"/>
      <c r="CW41" s="71"/>
      <c r="CX41" s="71"/>
      <c r="CY41" s="71"/>
      <c r="CZ41" s="71"/>
      <c r="DA41" s="71"/>
      <c r="DB41" s="71"/>
      <c r="DC41" s="81"/>
      <c r="DD41" s="78"/>
      <c r="DE41" s="71"/>
      <c r="DF41" s="78"/>
      <c r="DG41" s="71"/>
      <c r="DH41" s="71"/>
      <c r="DI41" s="71"/>
      <c r="DJ41" s="71"/>
      <c r="DK41" s="71"/>
      <c r="DL41" s="71"/>
      <c r="DM41" s="71"/>
      <c r="DN41" s="71"/>
      <c r="DO41" s="71"/>
      <c r="DP41" s="78"/>
      <c r="DQ41" s="78"/>
      <c r="DR41" s="78"/>
      <c r="DS41" s="1099"/>
    </row>
    <row r="42" spans="2:123" s="82" customFormat="1" ht="3.75" customHeight="1">
      <c r="B42" s="88"/>
      <c r="C42" s="1104"/>
      <c r="D42" s="111"/>
      <c r="E42" s="112"/>
      <c r="F42" s="112"/>
      <c r="G42" s="88"/>
      <c r="H42" s="88"/>
      <c r="I42" s="95"/>
      <c r="J42" s="71"/>
      <c r="K42" s="71"/>
      <c r="L42" s="71"/>
      <c r="M42" s="71"/>
      <c r="N42" s="71"/>
      <c r="O42" s="71"/>
      <c r="P42" s="71"/>
      <c r="Q42" s="71"/>
      <c r="R42" s="71"/>
      <c r="S42" s="71"/>
      <c r="T42" s="71"/>
      <c r="U42" s="71"/>
      <c r="V42" s="71"/>
      <c r="W42" s="71"/>
      <c r="X42" s="283"/>
      <c r="Y42" s="283"/>
      <c r="Z42" s="283"/>
      <c r="AA42" s="283"/>
      <c r="AB42" s="71"/>
      <c r="AC42" s="71"/>
      <c r="AD42" s="71"/>
      <c r="AE42" s="71"/>
      <c r="AF42" s="71"/>
      <c r="AG42" s="71"/>
      <c r="AH42" s="71"/>
      <c r="AI42" s="71"/>
      <c r="AJ42" s="64"/>
      <c r="AK42" s="64"/>
      <c r="AL42" s="64"/>
      <c r="AM42" s="64"/>
      <c r="AN42" s="64"/>
      <c r="AO42" s="64"/>
      <c r="AP42" s="64"/>
      <c r="AQ42" s="64"/>
      <c r="AR42" s="96"/>
      <c r="AS42" s="64"/>
      <c r="AT42" s="146"/>
      <c r="AU42" s="147"/>
      <c r="AV42" s="147"/>
      <c r="AW42" s="147"/>
      <c r="AX42" s="147"/>
      <c r="AY42" s="147"/>
      <c r="AZ42" s="147"/>
      <c r="BA42" s="147"/>
      <c r="BB42" s="147"/>
      <c r="BC42" s="147"/>
      <c r="BD42" s="147"/>
      <c r="BE42" s="147"/>
      <c r="BF42" s="147"/>
      <c r="BG42" s="148"/>
      <c r="BH42" s="147"/>
      <c r="BI42" s="147"/>
      <c r="BJ42" s="147"/>
      <c r="BK42" s="147"/>
      <c r="BL42" s="147"/>
      <c r="BM42" s="63"/>
      <c r="BN42" s="64"/>
      <c r="BO42" s="64"/>
      <c r="BP42" s="64"/>
      <c r="BQ42" s="64"/>
      <c r="BR42" s="64"/>
      <c r="BS42" s="96"/>
      <c r="BT42" s="64"/>
      <c r="BU42" s="64"/>
      <c r="BV42" s="64"/>
      <c r="BW42" s="64"/>
      <c r="BX42" s="64"/>
      <c r="BY42" s="64"/>
      <c r="BZ42" s="64"/>
      <c r="CA42" s="64"/>
      <c r="CB42" s="64"/>
      <c r="CC42" s="64"/>
      <c r="CD42" s="64"/>
      <c r="CE42" s="81"/>
      <c r="CF42" s="71"/>
      <c r="CG42" s="71"/>
      <c r="CH42" s="71"/>
      <c r="CI42" s="71"/>
      <c r="CJ42" s="71"/>
      <c r="CK42" s="71"/>
      <c r="CL42" s="71"/>
      <c r="CM42" s="71"/>
      <c r="CN42" s="71"/>
      <c r="CO42" s="71"/>
      <c r="CP42" s="71"/>
      <c r="CQ42" s="81"/>
      <c r="CR42" s="71"/>
      <c r="CS42" s="71"/>
      <c r="CT42" s="71"/>
      <c r="CU42" s="71"/>
      <c r="CV42" s="71"/>
      <c r="CW42" s="71"/>
      <c r="CX42" s="71"/>
      <c r="CY42" s="71"/>
      <c r="CZ42" s="71"/>
      <c r="DA42" s="71"/>
      <c r="DB42" s="71"/>
      <c r="DC42" s="81"/>
      <c r="DD42" s="71"/>
      <c r="DE42" s="71"/>
      <c r="DF42" s="71"/>
      <c r="DG42" s="71"/>
      <c r="DH42" s="71"/>
      <c r="DI42" s="71"/>
      <c r="DJ42" s="71"/>
      <c r="DK42" s="71"/>
      <c r="DL42" s="71"/>
      <c r="DM42" s="71"/>
      <c r="DN42" s="71"/>
      <c r="DO42" s="71"/>
      <c r="DP42" s="71"/>
      <c r="DQ42" s="71"/>
      <c r="DR42" s="71"/>
      <c r="DS42" s="80"/>
    </row>
    <row r="43" spans="2:123" s="72" customFormat="1" ht="11.25" customHeight="1">
      <c r="B43" s="97"/>
      <c r="C43" s="1102"/>
      <c r="D43" s="93"/>
      <c r="E43" s="94"/>
      <c r="F43" s="94"/>
      <c r="G43" s="64"/>
      <c r="H43" s="64"/>
      <c r="I43" s="95"/>
      <c r="J43" s="71"/>
      <c r="K43" s="71"/>
      <c r="L43" s="71"/>
      <c r="M43" s="1117"/>
      <c r="N43" s="1117"/>
      <c r="O43" s="1117"/>
      <c r="P43" s="1117"/>
      <c r="Q43" s="1117"/>
      <c r="R43" s="1117"/>
      <c r="S43" s="1117"/>
      <c r="T43" s="1124"/>
      <c r="U43" s="1117"/>
      <c r="V43" s="1117"/>
      <c r="W43" s="1117"/>
      <c r="X43" s="1134"/>
      <c r="Y43" s="1134"/>
      <c r="Z43" s="1134"/>
      <c r="AA43" s="1134"/>
      <c r="AB43" s="1117"/>
      <c r="AC43" s="1117"/>
      <c r="AD43" s="1135"/>
      <c r="AE43" s="1135"/>
      <c r="AF43" s="1119"/>
      <c r="AG43" s="1119"/>
      <c r="AH43" s="1136" t="s">
        <v>40</v>
      </c>
      <c r="AI43" s="1117"/>
      <c r="AJ43" s="94"/>
      <c r="AK43" s="94"/>
      <c r="AL43" s="94"/>
      <c r="AM43" s="94"/>
      <c r="AN43" s="94"/>
      <c r="AO43" s="1119"/>
      <c r="AP43" s="94"/>
      <c r="AQ43" s="94"/>
      <c r="AR43" s="223"/>
      <c r="AS43" s="223"/>
      <c r="AT43" s="226"/>
      <c r="AU43" s="223"/>
      <c r="AV43" s="223"/>
      <c r="AW43" s="224"/>
      <c r="AX43" s="227"/>
      <c r="AY43" s="224"/>
      <c r="AZ43" s="257"/>
      <c r="BA43" s="256"/>
      <c r="BB43" s="256"/>
      <c r="BC43" s="257"/>
      <c r="BD43" s="256"/>
      <c r="BE43" s="256"/>
      <c r="BF43" s="256"/>
      <c r="BG43" s="258"/>
      <c r="BH43" s="256"/>
      <c r="BI43" s="256"/>
      <c r="BJ43" s="259"/>
      <c r="BK43" s="149"/>
      <c r="BL43" s="66"/>
      <c r="BM43" s="66"/>
      <c r="BN43" s="66"/>
      <c r="BO43" s="66"/>
      <c r="BP43" s="66"/>
      <c r="BQ43" s="78"/>
      <c r="BR43" s="78"/>
      <c r="BS43" s="70"/>
      <c r="BT43" s="66"/>
      <c r="BU43" s="97"/>
      <c r="BV43" s="97"/>
      <c r="BW43" s="97"/>
      <c r="BX43" s="97"/>
      <c r="BY43" s="97"/>
      <c r="BZ43" s="64"/>
      <c r="CA43" s="64"/>
      <c r="CB43" s="64"/>
      <c r="CC43" s="97"/>
      <c r="CD43" s="64"/>
      <c r="CE43" s="79"/>
      <c r="CF43" s="78"/>
      <c r="CG43" s="71"/>
      <c r="CH43" s="78"/>
      <c r="CI43" s="71"/>
      <c r="CJ43" s="71"/>
      <c r="CK43" s="71"/>
      <c r="CL43" s="71"/>
      <c r="CM43" s="71"/>
      <c r="CN43" s="71"/>
      <c r="CO43" s="71"/>
      <c r="CP43" s="71"/>
      <c r="CQ43" s="81"/>
      <c r="CR43" s="78"/>
      <c r="CS43" s="71"/>
      <c r="CT43" s="78"/>
      <c r="CU43" s="71"/>
      <c r="CV43" s="71"/>
      <c r="CW43" s="71"/>
      <c r="CX43" s="71"/>
      <c r="CY43" s="71"/>
      <c r="CZ43" s="71"/>
      <c r="DA43" s="71"/>
      <c r="DB43" s="71"/>
      <c r="DC43" s="81"/>
      <c r="DD43" s="78"/>
      <c r="DE43" s="71"/>
      <c r="DF43" s="78"/>
      <c r="DG43" s="71"/>
      <c r="DH43" s="71"/>
      <c r="DI43" s="71"/>
      <c r="DJ43" s="71"/>
      <c r="DK43" s="71"/>
      <c r="DL43" s="71"/>
      <c r="DM43" s="71"/>
      <c r="DN43" s="71"/>
      <c r="DO43" s="71"/>
      <c r="DP43" s="78"/>
      <c r="DQ43" s="78"/>
      <c r="DR43" s="78"/>
      <c r="DS43" s="1099"/>
    </row>
    <row r="44" spans="2:123" s="82" customFormat="1" ht="3.75" customHeight="1">
      <c r="B44" s="64"/>
      <c r="C44" s="125"/>
      <c r="D44" s="93"/>
      <c r="E44" s="94"/>
      <c r="F44" s="94"/>
      <c r="G44" s="64"/>
      <c r="H44" s="64"/>
      <c r="I44" s="95"/>
      <c r="J44" s="71"/>
      <c r="K44" s="71"/>
      <c r="L44" s="71"/>
      <c r="M44" s="1117"/>
      <c r="N44" s="1117"/>
      <c r="O44" s="1117"/>
      <c r="P44" s="1117"/>
      <c r="Q44" s="1117"/>
      <c r="R44" s="1117"/>
      <c r="S44" s="1117"/>
      <c r="T44" s="1124"/>
      <c r="U44" s="75"/>
      <c r="V44" s="1117"/>
      <c r="W44" s="1117"/>
      <c r="X44" s="1134"/>
      <c r="Y44" s="1134"/>
      <c r="Z44" s="1134"/>
      <c r="AA44" s="1134"/>
      <c r="AB44" s="1117"/>
      <c r="AC44" s="1117"/>
      <c r="AD44" s="1117"/>
      <c r="AE44" s="1117"/>
      <c r="AF44" s="1117"/>
      <c r="AG44" s="1117"/>
      <c r="AH44" s="1117"/>
      <c r="AI44" s="1117"/>
      <c r="AJ44" s="94"/>
      <c r="AK44" s="94"/>
      <c r="AL44" s="94"/>
      <c r="AM44" s="94"/>
      <c r="AN44" s="94"/>
      <c r="AO44" s="94"/>
      <c r="AP44" s="94"/>
      <c r="AQ44" s="94"/>
      <c r="AR44" s="1137"/>
      <c r="AS44" s="94"/>
      <c r="AT44" s="94"/>
      <c r="AU44" s="68"/>
      <c r="AV44" s="68"/>
      <c r="AW44" s="68"/>
      <c r="AX44" s="68"/>
      <c r="AY44" s="68"/>
      <c r="AZ44" s="68"/>
      <c r="BA44" s="68"/>
      <c r="BB44" s="68"/>
      <c r="BC44" s="68"/>
      <c r="BD44" s="68"/>
      <c r="BE44" s="63"/>
      <c r="BF44" s="63"/>
      <c r="BG44" s="69"/>
      <c r="BH44" s="63"/>
      <c r="BI44" s="63"/>
      <c r="BJ44" s="63"/>
      <c r="BK44" s="63"/>
      <c r="BL44" s="63"/>
      <c r="BM44" s="63"/>
      <c r="BN44" s="64"/>
      <c r="BO44" s="64"/>
      <c r="BP44" s="64"/>
      <c r="BQ44" s="64"/>
      <c r="BR44" s="64"/>
      <c r="BS44" s="96"/>
      <c r="BT44" s="64"/>
      <c r="BU44" s="64"/>
      <c r="BV44" s="64"/>
      <c r="BW44" s="64"/>
      <c r="BX44" s="64"/>
      <c r="BY44" s="64"/>
      <c r="BZ44" s="64"/>
      <c r="CA44" s="64"/>
      <c r="CB44" s="64"/>
      <c r="CC44" s="64"/>
      <c r="CD44" s="64"/>
      <c r="CE44" s="81"/>
      <c r="CF44" s="71"/>
      <c r="CG44" s="71"/>
      <c r="CH44" s="71"/>
      <c r="CI44" s="71"/>
      <c r="CJ44" s="71"/>
      <c r="CK44" s="71"/>
      <c r="CL44" s="71"/>
      <c r="CM44" s="71"/>
      <c r="CN44" s="71"/>
      <c r="CO44" s="71"/>
      <c r="CP44" s="71"/>
      <c r="CQ44" s="81"/>
      <c r="CR44" s="71"/>
      <c r="CS44" s="71"/>
      <c r="CT44" s="71"/>
      <c r="CU44" s="71"/>
      <c r="CV44" s="71"/>
      <c r="CW44" s="71"/>
      <c r="CX44" s="71"/>
      <c r="CY44" s="71"/>
      <c r="CZ44" s="71"/>
      <c r="DA44" s="71"/>
      <c r="DB44" s="71"/>
      <c r="DC44" s="81"/>
      <c r="DD44" s="71"/>
      <c r="DE44" s="71"/>
      <c r="DF44" s="71"/>
      <c r="DG44" s="71"/>
      <c r="DH44" s="71"/>
      <c r="DI44" s="71"/>
      <c r="DJ44" s="71"/>
      <c r="DK44" s="71"/>
      <c r="DL44" s="71"/>
      <c r="DM44" s="71"/>
      <c r="DN44" s="71"/>
      <c r="DO44" s="71"/>
      <c r="DP44" s="71"/>
      <c r="DQ44" s="71"/>
      <c r="DR44" s="71"/>
      <c r="DS44" s="80"/>
    </row>
    <row r="45" spans="2:123" s="72" customFormat="1" ht="11.25" customHeight="1">
      <c r="B45" s="97"/>
      <c r="C45" s="1102"/>
      <c r="D45" s="93"/>
      <c r="E45" s="94"/>
      <c r="F45" s="94"/>
      <c r="G45" s="64"/>
      <c r="H45" s="64"/>
      <c r="I45" s="95"/>
      <c r="J45" s="71"/>
      <c r="K45" s="71"/>
      <c r="L45" s="71"/>
      <c r="M45" s="1117"/>
      <c r="N45" s="1117"/>
      <c r="O45" s="1117"/>
      <c r="P45" s="1117"/>
      <c r="Q45" s="1117"/>
      <c r="R45" s="1117"/>
      <c r="S45" s="1117"/>
      <c r="T45" s="1124"/>
      <c r="U45" s="1117"/>
      <c r="V45" s="1117"/>
      <c r="W45" s="1117"/>
      <c r="X45" s="1134"/>
      <c r="Y45" s="1134"/>
      <c r="Z45" s="1134"/>
      <c r="AA45" s="1134"/>
      <c r="AB45" s="1117"/>
      <c r="AC45" s="1117"/>
      <c r="AD45" s="75" t="s">
        <v>41</v>
      </c>
      <c r="AE45" s="1119"/>
      <c r="AF45" s="1117"/>
      <c r="AG45" s="1138"/>
      <c r="AH45" s="1139"/>
      <c r="AI45" s="1139"/>
      <c r="AJ45" s="1140"/>
      <c r="AK45" s="1141"/>
      <c r="AL45" s="1140"/>
      <c r="AM45" s="1140"/>
      <c r="AN45" s="1140"/>
      <c r="AO45" s="1140"/>
      <c r="AP45" s="1140"/>
      <c r="AQ45" s="1140"/>
      <c r="AR45" s="1140"/>
      <c r="AS45" s="1140"/>
      <c r="AT45" s="1140"/>
      <c r="AU45" s="1140"/>
      <c r="AV45" s="1140"/>
      <c r="AW45" s="1140"/>
      <c r="AX45" s="1140"/>
      <c r="AY45" s="1140"/>
      <c r="AZ45" s="1141"/>
      <c r="BA45" s="1140"/>
      <c r="BB45" s="1140"/>
      <c r="BC45" s="1140"/>
      <c r="BD45" s="1140"/>
      <c r="BE45" s="99"/>
      <c r="BF45" s="99"/>
      <c r="BG45" s="99"/>
      <c r="BH45" s="99"/>
      <c r="BI45" s="99"/>
      <c r="BJ45" s="98"/>
      <c r="BK45" s="99"/>
      <c r="BL45" s="99"/>
      <c r="BM45" s="99"/>
      <c r="BN45" s="99"/>
      <c r="BO45" s="99"/>
      <c r="BP45" s="99"/>
      <c r="BQ45" s="64"/>
      <c r="BR45" s="64"/>
      <c r="BS45" s="64"/>
      <c r="BT45" s="64"/>
      <c r="BU45" s="64"/>
      <c r="BV45" s="64"/>
      <c r="BW45" s="64"/>
      <c r="BX45" s="64"/>
      <c r="BY45" s="64"/>
      <c r="BZ45" s="64"/>
      <c r="CA45" s="64"/>
      <c r="CB45" s="64"/>
      <c r="CC45" s="64"/>
      <c r="CD45" s="64"/>
      <c r="CE45" s="79"/>
      <c r="CF45" s="78"/>
      <c r="CG45" s="71"/>
      <c r="CH45" s="78"/>
      <c r="CI45" s="71"/>
      <c r="CJ45" s="71"/>
      <c r="CK45" s="71"/>
      <c r="CL45" s="71"/>
      <c r="CM45" s="71"/>
      <c r="CN45" s="71"/>
      <c r="CO45" s="71"/>
      <c r="CP45" s="71"/>
      <c r="CQ45" s="81"/>
      <c r="CR45" s="78"/>
      <c r="CS45" s="71"/>
      <c r="CT45" s="78"/>
      <c r="CU45" s="71"/>
      <c r="CV45" s="71"/>
      <c r="CW45" s="71"/>
      <c r="CX45" s="71"/>
      <c r="CY45" s="71"/>
      <c r="CZ45" s="71"/>
      <c r="DA45" s="71"/>
      <c r="DB45" s="71"/>
      <c r="DC45" s="81"/>
      <c r="DD45" s="78"/>
      <c r="DE45" s="71"/>
      <c r="DF45" s="78"/>
      <c r="DG45" s="71"/>
      <c r="DH45" s="71"/>
      <c r="DI45" s="71"/>
      <c r="DJ45" s="71"/>
      <c r="DK45" s="71"/>
      <c r="DL45" s="71"/>
      <c r="DM45" s="71"/>
      <c r="DN45" s="71"/>
      <c r="DO45" s="71"/>
      <c r="DP45" s="78"/>
      <c r="DQ45" s="78"/>
      <c r="DR45" s="78"/>
      <c r="DS45" s="1099"/>
    </row>
    <row r="46" spans="2:123" s="82" customFormat="1" ht="13.5" customHeight="1">
      <c r="B46" s="64"/>
      <c r="C46" s="125"/>
      <c r="D46" s="93"/>
      <c r="E46" s="94"/>
      <c r="F46" s="94"/>
      <c r="G46" s="64"/>
      <c r="H46" s="64"/>
      <c r="I46" s="95"/>
      <c r="J46" s="71"/>
      <c r="K46" s="71"/>
      <c r="L46" s="71"/>
      <c r="M46" s="1117"/>
      <c r="N46" s="1117"/>
      <c r="O46" s="1117"/>
      <c r="P46" s="1117"/>
      <c r="Q46" s="1117"/>
      <c r="R46" s="1117"/>
      <c r="S46" s="1117"/>
      <c r="T46" s="1124"/>
      <c r="U46" s="1117"/>
      <c r="V46" s="75"/>
      <c r="W46" s="1117"/>
      <c r="X46" s="1134"/>
      <c r="Y46" s="1134"/>
      <c r="Z46" s="1134"/>
      <c r="AA46" s="1134"/>
      <c r="AB46" s="1117"/>
      <c r="AC46" s="1117"/>
      <c r="AD46" s="1117"/>
      <c r="AE46" s="1117"/>
      <c r="AF46" s="1117"/>
      <c r="AG46" s="1117"/>
      <c r="AH46" s="1117"/>
      <c r="AI46" s="1117"/>
      <c r="AJ46" s="1117"/>
      <c r="AK46" s="1117"/>
      <c r="AL46" s="1117"/>
      <c r="AM46" s="1117"/>
      <c r="AN46" s="1117"/>
      <c r="AO46" s="1117"/>
      <c r="AP46" s="1117"/>
      <c r="AQ46" s="1117"/>
      <c r="AR46" s="1117"/>
      <c r="AS46" s="1117"/>
      <c r="AT46" s="1117"/>
      <c r="AU46" s="1117"/>
      <c r="AV46" s="1117"/>
      <c r="AW46" s="1117"/>
      <c r="AX46" s="1117"/>
      <c r="AY46" s="1117"/>
      <c r="AZ46" s="1117"/>
      <c r="BA46" s="1117"/>
      <c r="BB46" s="1117"/>
      <c r="BC46" s="1117"/>
      <c r="BD46" s="1117"/>
      <c r="BE46" s="71"/>
      <c r="BF46" s="71"/>
      <c r="BG46" s="81"/>
      <c r="BH46" s="71"/>
      <c r="BI46" s="64"/>
      <c r="BJ46" s="64"/>
      <c r="BK46" s="64"/>
      <c r="BL46" s="64"/>
      <c r="BM46" s="64"/>
      <c r="BN46" s="64"/>
      <c r="BO46" s="64"/>
      <c r="BP46" s="64"/>
      <c r="BQ46" s="64"/>
      <c r="BR46" s="64"/>
      <c r="BS46" s="96"/>
      <c r="BT46" s="64"/>
      <c r="BU46" s="64"/>
      <c r="BV46" s="64"/>
      <c r="BW46" s="64"/>
      <c r="BX46" s="64"/>
      <c r="BY46" s="64"/>
      <c r="BZ46" s="64"/>
      <c r="CA46" s="64"/>
      <c r="CB46" s="64"/>
      <c r="CC46" s="64"/>
      <c r="CD46" s="64"/>
      <c r="CE46" s="81"/>
      <c r="CF46" s="71"/>
      <c r="CG46" s="71"/>
      <c r="CH46" s="71"/>
      <c r="CI46" s="71"/>
      <c r="CJ46" s="71"/>
      <c r="CK46" s="71"/>
      <c r="CL46" s="71"/>
      <c r="CM46" s="71"/>
      <c r="CN46" s="71"/>
      <c r="CO46" s="71"/>
      <c r="CP46" s="71"/>
      <c r="CQ46" s="81"/>
      <c r="CR46" s="71"/>
      <c r="CS46" s="71"/>
      <c r="CT46" s="71"/>
      <c r="CU46" s="71"/>
      <c r="CV46" s="71"/>
      <c r="CW46" s="71"/>
      <c r="CX46" s="71"/>
      <c r="CY46" s="71"/>
      <c r="CZ46" s="71"/>
      <c r="DA46" s="71"/>
      <c r="DB46" s="71"/>
      <c r="DC46" s="81"/>
      <c r="DD46" s="71"/>
      <c r="DE46" s="71"/>
      <c r="DF46" s="71"/>
      <c r="DG46" s="71"/>
      <c r="DH46" s="71"/>
      <c r="DI46" s="71"/>
      <c r="DJ46" s="71"/>
      <c r="DK46" s="71"/>
      <c r="DL46" s="71"/>
      <c r="DM46" s="71"/>
      <c r="DN46" s="71"/>
      <c r="DO46" s="71"/>
      <c r="DP46" s="71"/>
      <c r="DQ46" s="71"/>
      <c r="DR46" s="71"/>
      <c r="DS46" s="80"/>
    </row>
    <row r="47" spans="2:123" s="72" customFormat="1" ht="12.75" customHeight="1">
      <c r="B47" s="97"/>
      <c r="C47" s="1102"/>
      <c r="D47" s="93"/>
      <c r="E47" s="94"/>
      <c r="F47" s="94"/>
      <c r="G47" s="64"/>
      <c r="H47" s="64"/>
      <c r="I47" s="95"/>
      <c r="J47" s="71"/>
      <c r="K47" s="71"/>
      <c r="L47" s="275"/>
      <c r="M47" s="1117"/>
      <c r="N47" s="1117"/>
      <c r="O47" s="1117"/>
      <c r="P47" s="1117"/>
      <c r="Q47" s="1117"/>
      <c r="R47" s="1117"/>
      <c r="S47" s="1117"/>
      <c r="T47" s="1124"/>
      <c r="U47" s="1117"/>
      <c r="V47" s="1117"/>
      <c r="W47" s="1117"/>
      <c r="X47" s="1134"/>
      <c r="Y47" s="1134"/>
      <c r="Z47" s="1134"/>
      <c r="AA47" s="1134"/>
      <c r="AB47" s="1117"/>
      <c r="AC47" s="1117"/>
      <c r="AD47" s="1117"/>
      <c r="AE47" s="1117"/>
      <c r="AF47" s="1117"/>
      <c r="AG47" s="1119"/>
      <c r="AH47" s="1119"/>
      <c r="AI47" s="1119"/>
      <c r="AJ47" s="94"/>
      <c r="AK47" s="1117"/>
      <c r="AL47" s="1119"/>
      <c r="AM47" s="1119"/>
      <c r="AN47" s="1119"/>
      <c r="AO47" s="1117"/>
      <c r="AP47" s="1117"/>
      <c r="AQ47" s="75" t="s">
        <v>721</v>
      </c>
      <c r="AR47" s="1119"/>
      <c r="AS47" s="1138"/>
      <c r="AT47" s="1139"/>
      <c r="AU47" s="1139"/>
      <c r="AV47" s="1139"/>
      <c r="AW47" s="1139"/>
      <c r="AX47" s="1139"/>
      <c r="AY47" s="1139"/>
      <c r="AZ47" s="1138"/>
      <c r="BA47" s="1139"/>
      <c r="BB47" s="1139"/>
      <c r="BC47" s="1139"/>
      <c r="BD47" s="1139"/>
      <c r="BE47" s="100"/>
      <c r="BF47" s="100"/>
      <c r="BG47" s="100"/>
      <c r="BH47" s="100"/>
      <c r="BI47" s="98"/>
      <c r="BJ47" s="99"/>
      <c r="BK47" s="99"/>
      <c r="BL47" s="99"/>
      <c r="BM47" s="99"/>
      <c r="BN47" s="99"/>
      <c r="BO47" s="99"/>
      <c r="BP47" s="98"/>
      <c r="BQ47" s="106"/>
      <c r="BR47" s="105"/>
      <c r="BS47" s="105"/>
      <c r="BT47" s="105"/>
      <c r="BU47" s="105"/>
      <c r="BV47" s="105"/>
      <c r="BW47" s="105"/>
      <c r="BX47" s="105"/>
      <c r="BY47" s="105"/>
      <c r="BZ47" s="105"/>
      <c r="CA47" s="105"/>
      <c r="CB47" s="105"/>
      <c r="CC47" s="105"/>
      <c r="CD47" s="107"/>
      <c r="CE47" s="79"/>
      <c r="CF47" s="36"/>
      <c r="CG47" s="36"/>
      <c r="CH47" s="36"/>
      <c r="CI47" s="36"/>
      <c r="CJ47" s="36"/>
      <c r="CK47" s="36"/>
      <c r="CL47" s="36"/>
      <c r="CM47" s="36"/>
      <c r="CN47" s="71"/>
      <c r="CO47" s="71"/>
      <c r="CP47" s="71"/>
      <c r="CQ47" s="81"/>
      <c r="CR47" s="36"/>
      <c r="CS47" s="36"/>
      <c r="CT47" s="36"/>
      <c r="CU47" s="36"/>
      <c r="CV47" s="36"/>
      <c r="CW47" s="36"/>
      <c r="CX47" s="36"/>
      <c r="CY47" s="36"/>
      <c r="CZ47" s="71"/>
      <c r="DA47" s="71"/>
      <c r="DB47" s="71"/>
      <c r="DC47" s="81"/>
      <c r="DD47" s="36"/>
      <c r="DE47" s="36"/>
      <c r="DF47" s="48"/>
      <c r="DG47" s="48"/>
      <c r="DH47" s="48"/>
      <c r="DI47" s="48"/>
      <c r="DJ47" s="48"/>
      <c r="DK47" s="48"/>
      <c r="DL47" s="71"/>
      <c r="DM47" s="71"/>
      <c r="DN47" s="71"/>
      <c r="DO47" s="71"/>
      <c r="DP47" s="78"/>
      <c r="DQ47" s="78"/>
      <c r="DR47" s="78"/>
      <c r="DS47" s="1099"/>
    </row>
    <row r="48" spans="2:123" s="72" customFormat="1" ht="18.75" customHeight="1">
      <c r="B48" s="97"/>
      <c r="C48" s="1102"/>
      <c r="D48" s="124"/>
      <c r="E48" s="94"/>
      <c r="F48" s="94"/>
      <c r="G48" s="64"/>
      <c r="H48" s="64"/>
      <c r="I48" s="230" t="s">
        <v>42</v>
      </c>
      <c r="J48" s="71"/>
      <c r="K48" s="71"/>
      <c r="L48" s="71"/>
      <c r="M48" s="1117"/>
      <c r="N48" s="75"/>
      <c r="O48" s="1117"/>
      <c r="P48" s="1117"/>
      <c r="Q48" s="1117"/>
      <c r="R48" s="1117"/>
      <c r="S48" s="1117"/>
      <c r="T48" s="1124"/>
      <c r="U48" s="1117"/>
      <c r="V48" s="1117"/>
      <c r="W48" s="1117"/>
      <c r="X48" s="1117"/>
      <c r="Y48" s="1117"/>
      <c r="Z48" s="1117"/>
      <c r="AA48" s="1117"/>
      <c r="AB48" s="1117"/>
      <c r="AC48" s="1117"/>
      <c r="AD48" s="1117"/>
      <c r="AE48" s="1117"/>
      <c r="AF48" s="1131"/>
      <c r="AG48" s="1117"/>
      <c r="AH48" s="1119"/>
      <c r="AI48" s="1117"/>
      <c r="AJ48" s="94"/>
      <c r="AK48" s="94"/>
      <c r="AL48" s="75"/>
      <c r="AM48" s="1117"/>
      <c r="AN48" s="1117"/>
      <c r="AO48" s="1117"/>
      <c r="AP48" s="1117"/>
      <c r="AQ48" s="1117"/>
      <c r="AR48" s="1117"/>
      <c r="AS48" s="1117"/>
      <c r="AT48" s="1117"/>
      <c r="AU48" s="1117"/>
      <c r="AV48" s="75"/>
      <c r="AW48" s="1117"/>
      <c r="AX48" s="1117"/>
      <c r="AY48" s="1117"/>
      <c r="AZ48" s="1117"/>
      <c r="BA48" s="1117"/>
      <c r="BB48" s="1117"/>
      <c r="BC48" s="1117"/>
      <c r="BD48" s="1117"/>
      <c r="BE48" s="71"/>
      <c r="BF48" s="71"/>
      <c r="BG48" s="71"/>
      <c r="BH48" s="71"/>
      <c r="BI48" s="64"/>
      <c r="BJ48" s="64"/>
      <c r="BK48" s="97"/>
      <c r="BL48" s="97"/>
      <c r="BM48" s="97"/>
      <c r="BN48" s="97"/>
      <c r="BO48" s="97"/>
      <c r="BP48" s="97"/>
      <c r="BQ48" s="97"/>
      <c r="BR48" s="97"/>
      <c r="BS48" s="102"/>
      <c r="BT48" s="97"/>
      <c r="BU48" s="97"/>
      <c r="BV48" s="97"/>
      <c r="BW48" s="97"/>
      <c r="BX48" s="97"/>
      <c r="BY48" s="97"/>
      <c r="BZ48" s="64"/>
      <c r="CA48" s="64"/>
      <c r="CB48" s="64"/>
      <c r="CC48" s="64"/>
      <c r="CD48" s="64"/>
      <c r="CE48" s="79"/>
      <c r="CF48" s="78"/>
      <c r="CG48" s="71"/>
      <c r="CH48" s="78"/>
      <c r="CI48" s="71"/>
      <c r="CJ48" s="71"/>
      <c r="CK48" s="71"/>
      <c r="CL48" s="71"/>
      <c r="CM48" s="71"/>
      <c r="CN48" s="71"/>
      <c r="CO48" s="71"/>
      <c r="CP48" s="71"/>
      <c r="CQ48" s="81"/>
      <c r="CR48" s="78"/>
      <c r="CS48" s="71"/>
      <c r="CT48" s="78"/>
      <c r="CU48" s="71"/>
      <c r="CV48" s="71"/>
      <c r="CW48" s="71"/>
      <c r="CX48" s="71"/>
      <c r="CY48" s="71"/>
      <c r="CZ48" s="71"/>
      <c r="DA48" s="71"/>
      <c r="DB48" s="71"/>
      <c r="DC48" s="81"/>
      <c r="DD48" s="78"/>
      <c r="DE48" s="71"/>
      <c r="DF48" s="71"/>
      <c r="DG48" s="71"/>
      <c r="DH48" s="71"/>
      <c r="DI48" s="71"/>
      <c r="DJ48" s="71"/>
      <c r="DK48" s="71"/>
      <c r="DL48" s="71"/>
      <c r="DM48" s="71"/>
      <c r="DN48" s="71"/>
      <c r="DO48" s="71"/>
      <c r="DP48" s="78"/>
      <c r="DQ48" s="78"/>
      <c r="DR48" s="78"/>
      <c r="DS48" s="1099"/>
    </row>
    <row r="49" spans="2:123" s="72" customFormat="1" ht="5.25" customHeight="1">
      <c r="B49" s="97"/>
      <c r="C49" s="1102"/>
      <c r="D49" s="93"/>
      <c r="E49" s="94"/>
      <c r="F49" s="94"/>
      <c r="G49" s="64"/>
      <c r="H49" s="64"/>
      <c r="I49" s="95"/>
      <c r="J49" s="71"/>
      <c r="K49" s="71"/>
      <c r="L49" s="71"/>
      <c r="M49" s="1117"/>
      <c r="N49" s="75"/>
      <c r="O49" s="1117"/>
      <c r="P49" s="1117"/>
      <c r="Q49" s="1117"/>
      <c r="R49" s="1117"/>
      <c r="S49" s="1117"/>
      <c r="T49" s="1124"/>
      <c r="U49" s="1117"/>
      <c r="V49" s="1117"/>
      <c r="W49" s="1117"/>
      <c r="X49" s="1117"/>
      <c r="Y49" s="1117"/>
      <c r="Z49" s="1117"/>
      <c r="AA49" s="1117"/>
      <c r="AB49" s="1117"/>
      <c r="AC49" s="1117"/>
      <c r="AD49" s="1117"/>
      <c r="AE49" s="1117"/>
      <c r="AF49" s="1131"/>
      <c r="AG49" s="1117"/>
      <c r="AH49" s="1119"/>
      <c r="AI49" s="1117"/>
      <c r="AJ49" s="94"/>
      <c r="AK49" s="94"/>
      <c r="AL49" s="1117"/>
      <c r="AM49" s="1117"/>
      <c r="AN49" s="1117"/>
      <c r="AO49" s="1117"/>
      <c r="AP49" s="1117"/>
      <c r="AQ49" s="1117"/>
      <c r="AR49" s="1119"/>
      <c r="AS49" s="1119"/>
      <c r="AT49" s="1119"/>
      <c r="AU49" s="1117"/>
      <c r="AV49" s="75"/>
      <c r="AW49" s="1117"/>
      <c r="AX49" s="1117"/>
      <c r="AY49" s="1117"/>
      <c r="AZ49" s="1117"/>
      <c r="BA49" s="75"/>
      <c r="BB49" s="1117"/>
      <c r="BC49" s="1117"/>
      <c r="BD49" s="1117"/>
      <c r="BE49" s="71"/>
      <c r="BF49" s="71"/>
      <c r="BG49" s="71"/>
      <c r="BH49" s="71"/>
      <c r="BI49" s="64"/>
      <c r="BJ49" s="64"/>
      <c r="BK49" s="97"/>
      <c r="BL49" s="97"/>
      <c r="BM49" s="64"/>
      <c r="BN49" s="64"/>
      <c r="BO49" s="64"/>
      <c r="BP49" s="64"/>
      <c r="BQ49" s="97"/>
      <c r="BR49" s="97"/>
      <c r="BS49" s="102"/>
      <c r="BT49" s="97"/>
      <c r="BU49" s="97"/>
      <c r="BV49" s="97"/>
      <c r="BW49" s="97"/>
      <c r="BX49" s="97"/>
      <c r="BY49" s="97"/>
      <c r="BZ49" s="64"/>
      <c r="CA49" s="64"/>
      <c r="CB49" s="64"/>
      <c r="CC49" s="64"/>
      <c r="CD49" s="64"/>
      <c r="CE49" s="79"/>
      <c r="CF49" s="78"/>
      <c r="CG49" s="71"/>
      <c r="CH49" s="78"/>
      <c r="CI49" s="71"/>
      <c r="CJ49" s="71"/>
      <c r="CK49" s="71"/>
      <c r="CL49" s="71"/>
      <c r="CM49" s="71"/>
      <c r="CN49" s="71"/>
      <c r="CO49" s="71"/>
      <c r="CP49" s="71"/>
      <c r="CQ49" s="81"/>
      <c r="CR49" s="78"/>
      <c r="CS49" s="71"/>
      <c r="CT49" s="78"/>
      <c r="CU49" s="71"/>
      <c r="CV49" s="71"/>
      <c r="CW49" s="71"/>
      <c r="CX49" s="71"/>
      <c r="CY49" s="71"/>
      <c r="CZ49" s="71"/>
      <c r="DA49" s="71"/>
      <c r="DB49" s="71"/>
      <c r="DC49" s="81"/>
      <c r="DD49" s="78"/>
      <c r="DE49" s="71"/>
      <c r="DF49" s="71"/>
      <c r="DG49" s="71"/>
      <c r="DH49" s="71"/>
      <c r="DI49" s="71"/>
      <c r="DJ49" s="71"/>
      <c r="DK49" s="71"/>
      <c r="DL49" s="71"/>
      <c r="DM49" s="71"/>
      <c r="DN49" s="71"/>
      <c r="DO49" s="71"/>
      <c r="DP49" s="78"/>
      <c r="DQ49" s="78"/>
      <c r="DR49" s="78"/>
      <c r="DS49" s="1099"/>
    </row>
    <row r="50" spans="2:123" s="72" customFormat="1" ht="12" customHeight="1">
      <c r="B50" s="97"/>
      <c r="C50" s="1102"/>
      <c r="D50" s="109"/>
      <c r="E50" s="94"/>
      <c r="F50" s="94"/>
      <c r="G50" s="64"/>
      <c r="H50" s="64"/>
      <c r="I50" s="95"/>
      <c r="J50" s="71"/>
      <c r="K50" s="71"/>
      <c r="L50" s="71"/>
      <c r="M50" s="1117"/>
      <c r="N50" s="75"/>
      <c r="O50" s="1117"/>
      <c r="P50" s="1117"/>
      <c r="Q50" s="1117"/>
      <c r="R50" s="1117"/>
      <c r="S50" s="1117"/>
      <c r="T50" s="1142"/>
      <c r="U50" s="1119"/>
      <c r="V50" s="1134"/>
      <c r="W50" s="1134"/>
      <c r="X50" s="1134"/>
      <c r="Y50" s="1134"/>
      <c r="Z50" s="1134"/>
      <c r="AA50" s="1134"/>
      <c r="AB50" s="1134"/>
      <c r="AC50" s="1134"/>
      <c r="AD50" s="1134"/>
      <c r="AE50" s="1134"/>
      <c r="AF50" s="1143"/>
      <c r="AG50" s="1134"/>
      <c r="AH50" s="1144"/>
      <c r="AI50" s="1134"/>
      <c r="AJ50" s="117"/>
      <c r="AK50" s="117"/>
      <c r="AL50" s="1117"/>
      <c r="AM50" s="1117"/>
      <c r="AN50" s="1117"/>
      <c r="AO50" s="1117"/>
      <c r="AP50" s="1117"/>
      <c r="AQ50" s="1117"/>
      <c r="AR50" s="1119"/>
      <c r="AS50" s="1119"/>
      <c r="AT50" s="1119"/>
      <c r="AU50" s="1119"/>
      <c r="AV50" s="1117"/>
      <c r="AW50" s="1117"/>
      <c r="AX50" s="1119"/>
      <c r="AY50" s="1119"/>
      <c r="AZ50" s="1132" t="s">
        <v>218</v>
      </c>
      <c r="BA50" s="1117"/>
      <c r="BB50" s="1117"/>
      <c r="BC50" s="1119"/>
      <c r="BD50" s="1117"/>
      <c r="BE50" s="222"/>
      <c r="BF50" s="100"/>
      <c r="BG50" s="100"/>
      <c r="BH50" s="100"/>
      <c r="BI50" s="100"/>
      <c r="BJ50" s="100"/>
      <c r="BK50" s="100"/>
      <c r="BL50" s="100"/>
      <c r="BM50" s="100"/>
      <c r="BN50" s="100"/>
      <c r="BO50" s="100"/>
      <c r="BP50" s="222"/>
      <c r="BQ50" s="1185"/>
      <c r="BR50" s="126"/>
      <c r="BS50" s="126"/>
      <c r="BT50" s="126"/>
      <c r="BU50" s="126"/>
      <c r="BV50" s="126"/>
      <c r="BW50" s="126"/>
      <c r="BX50" s="126"/>
      <c r="BY50" s="260"/>
      <c r="BZ50" s="71"/>
      <c r="CA50" s="71"/>
      <c r="CB50" s="71"/>
      <c r="CC50" s="71"/>
      <c r="CD50" s="71"/>
      <c r="CE50" s="79"/>
      <c r="CF50" s="78"/>
      <c r="CG50" s="71"/>
      <c r="CH50" s="78"/>
      <c r="CI50" s="71"/>
      <c r="CJ50" s="71"/>
      <c r="CK50" s="71"/>
      <c r="CL50" s="71"/>
      <c r="CM50" s="71"/>
      <c r="CN50" s="71"/>
      <c r="CO50" s="71"/>
      <c r="CP50" s="71"/>
      <c r="CQ50" s="81"/>
      <c r="CR50" s="78"/>
      <c r="CS50" s="71"/>
      <c r="CT50" s="78"/>
      <c r="CU50" s="71"/>
      <c r="CV50" s="71"/>
      <c r="CW50" s="71"/>
      <c r="CX50" s="71"/>
      <c r="CY50" s="71"/>
      <c r="CZ50" s="71"/>
      <c r="DA50" s="71"/>
      <c r="DB50" s="71"/>
      <c r="DC50" s="81"/>
      <c r="DD50" s="78"/>
      <c r="DE50" s="71"/>
      <c r="DF50" s="71"/>
      <c r="DG50" s="71"/>
      <c r="DH50" s="71"/>
      <c r="DI50" s="71"/>
      <c r="DJ50" s="71"/>
      <c r="DK50" s="71"/>
      <c r="DL50" s="71"/>
      <c r="DM50" s="71"/>
      <c r="DN50" s="71"/>
      <c r="DO50" s="71"/>
      <c r="DP50" s="78"/>
      <c r="DQ50" s="78"/>
      <c r="DR50" s="78"/>
      <c r="DS50" s="1099"/>
    </row>
    <row r="51" spans="2:123" s="72" customFormat="1" ht="10.5" customHeight="1">
      <c r="B51" s="97"/>
      <c r="C51" s="1102"/>
      <c r="D51" s="93"/>
      <c r="E51" s="94"/>
      <c r="F51" s="94"/>
      <c r="G51" s="64"/>
      <c r="H51" s="64"/>
      <c r="I51" s="95"/>
      <c r="J51" s="64"/>
      <c r="K51" s="64"/>
      <c r="L51" s="64"/>
      <c r="M51" s="94"/>
      <c r="N51" s="112"/>
      <c r="O51" s="94"/>
      <c r="P51" s="94"/>
      <c r="Q51" s="94"/>
      <c r="R51" s="94"/>
      <c r="S51" s="94"/>
      <c r="T51" s="1145"/>
      <c r="U51" s="117"/>
      <c r="V51" s="117"/>
      <c r="W51" s="117"/>
      <c r="X51" s="117"/>
      <c r="Y51" s="117"/>
      <c r="Z51" s="117"/>
      <c r="AA51" s="117"/>
      <c r="AB51" s="117"/>
      <c r="AC51" s="117"/>
      <c r="AD51" s="117"/>
      <c r="AE51" s="117"/>
      <c r="AF51" s="1143"/>
      <c r="AG51" s="117"/>
      <c r="AH51" s="1144"/>
      <c r="AI51" s="117"/>
      <c r="AJ51" s="117"/>
      <c r="AK51" s="117"/>
      <c r="AL51" s="1117"/>
      <c r="AM51" s="1117"/>
      <c r="AN51" s="1117"/>
      <c r="AO51" s="1117"/>
      <c r="AP51" s="1117"/>
      <c r="AQ51" s="1117"/>
      <c r="AR51" s="1119"/>
      <c r="AS51" s="1119"/>
      <c r="AT51" s="1119"/>
      <c r="AU51" s="1117"/>
      <c r="AV51" s="75"/>
      <c r="AW51" s="1117"/>
      <c r="AX51" s="1117"/>
      <c r="AY51" s="1117"/>
      <c r="AZ51" s="1117"/>
      <c r="BA51" s="75"/>
      <c r="BB51" s="1117"/>
      <c r="BC51" s="1117"/>
      <c r="BD51" s="1117"/>
      <c r="BE51" s="71"/>
      <c r="BF51" s="71"/>
      <c r="BG51" s="71"/>
      <c r="BH51" s="71"/>
      <c r="BI51" s="71"/>
      <c r="BJ51" s="71"/>
      <c r="BK51" s="71"/>
      <c r="BL51" s="71"/>
      <c r="BM51" s="71"/>
      <c r="BN51" s="71"/>
      <c r="BO51" s="71"/>
      <c r="BP51" s="71"/>
      <c r="BQ51" s="71"/>
      <c r="BR51" s="78"/>
      <c r="BS51" s="79"/>
      <c r="BT51" s="78"/>
      <c r="BU51" s="78"/>
      <c r="BV51" s="78"/>
      <c r="BW51" s="78"/>
      <c r="BX51" s="78"/>
      <c r="BY51" s="78"/>
      <c r="BZ51" s="71"/>
      <c r="CA51" s="71"/>
      <c r="CB51" s="71"/>
      <c r="CC51" s="71"/>
      <c r="CD51" s="71"/>
      <c r="CE51" s="79"/>
      <c r="CF51" s="78"/>
      <c r="CG51" s="71"/>
      <c r="CH51" s="78"/>
      <c r="CI51" s="71"/>
      <c r="CJ51" s="71"/>
      <c r="CK51" s="71"/>
      <c r="CL51" s="71"/>
      <c r="CM51" s="71"/>
      <c r="CN51" s="71"/>
      <c r="CO51" s="71"/>
      <c r="CP51" s="71"/>
      <c r="CQ51" s="81"/>
      <c r="CR51" s="78"/>
      <c r="CS51" s="71"/>
      <c r="CT51" s="78"/>
      <c r="CU51" s="71"/>
      <c r="CV51" s="71"/>
      <c r="CW51" s="71"/>
      <c r="CX51" s="71"/>
      <c r="CY51" s="71"/>
      <c r="CZ51" s="71"/>
      <c r="DA51" s="71"/>
      <c r="DB51" s="71"/>
      <c r="DC51" s="81"/>
      <c r="DD51" s="78"/>
      <c r="DE51" s="71"/>
      <c r="DF51" s="71"/>
      <c r="DG51" s="71"/>
      <c r="DH51" s="71"/>
      <c r="DI51" s="71"/>
      <c r="DJ51" s="71"/>
      <c r="DK51" s="71"/>
      <c r="DL51" s="71"/>
      <c r="DM51" s="71"/>
      <c r="DN51" s="71"/>
      <c r="DO51" s="71"/>
      <c r="DP51" s="78"/>
      <c r="DQ51" s="78"/>
      <c r="DR51" s="78"/>
      <c r="DS51" s="1099"/>
    </row>
    <row r="52" spans="2:125" s="72" customFormat="1" ht="11.25" customHeight="1">
      <c r="B52" s="97"/>
      <c r="C52" s="1102"/>
      <c r="D52" s="93"/>
      <c r="E52" s="94"/>
      <c r="F52" s="94"/>
      <c r="G52" s="64"/>
      <c r="H52" s="64"/>
      <c r="I52" s="95"/>
      <c r="J52" s="64"/>
      <c r="K52" s="64"/>
      <c r="L52" s="64"/>
      <c r="M52" s="94"/>
      <c r="N52" s="112"/>
      <c r="O52" s="94"/>
      <c r="P52" s="94"/>
      <c r="Q52" s="94"/>
      <c r="R52" s="94"/>
      <c r="S52" s="94"/>
      <c r="T52" s="1145"/>
      <c r="U52" s="117"/>
      <c r="V52" s="117"/>
      <c r="W52" s="117"/>
      <c r="X52" s="117"/>
      <c r="Y52" s="117"/>
      <c r="Z52" s="117"/>
      <c r="AA52" s="117"/>
      <c r="AB52" s="117"/>
      <c r="AC52" s="117"/>
      <c r="AD52" s="117"/>
      <c r="AE52" s="117"/>
      <c r="AF52" s="1143"/>
      <c r="AG52" s="117"/>
      <c r="AH52" s="1144"/>
      <c r="AI52" s="117"/>
      <c r="AJ52" s="117"/>
      <c r="AK52" s="117"/>
      <c r="AL52" s="1117"/>
      <c r="AM52" s="1117"/>
      <c r="AN52" s="1117"/>
      <c r="AO52" s="1117"/>
      <c r="AP52" s="1119"/>
      <c r="AQ52" s="1117"/>
      <c r="AR52" s="1119"/>
      <c r="AS52" s="1119"/>
      <c r="AT52" s="1119"/>
      <c r="AU52" s="1117"/>
      <c r="AV52" s="1119"/>
      <c r="AW52" s="1117"/>
      <c r="AX52" s="1119"/>
      <c r="AY52" s="1117"/>
      <c r="AZ52" s="1117"/>
      <c r="BA52" s="75"/>
      <c r="BB52" s="1117"/>
      <c r="BC52" s="1117"/>
      <c r="BD52" s="1117"/>
      <c r="BE52" s="71"/>
      <c r="BF52" s="76"/>
      <c r="BG52" s="71"/>
      <c r="BH52" s="78"/>
      <c r="BI52" s="78"/>
      <c r="BJ52" s="71"/>
      <c r="BK52" s="1117"/>
      <c r="BL52" s="1119"/>
      <c r="BM52" s="1117"/>
      <c r="BN52" s="1119"/>
      <c r="BO52" s="75" t="s">
        <v>219</v>
      </c>
      <c r="BP52" s="1119"/>
      <c r="BQ52" s="1119"/>
      <c r="BR52" s="1119"/>
      <c r="BS52" s="1119"/>
      <c r="BT52" s="1117"/>
      <c r="BU52" s="1120"/>
      <c r="BV52" s="1121"/>
      <c r="BW52" s="1121"/>
      <c r="BX52" s="1122"/>
      <c r="BY52" s="1121"/>
      <c r="BZ52" s="1121"/>
      <c r="CA52" s="1121"/>
      <c r="CB52" s="1121"/>
      <c r="CC52" s="1121"/>
      <c r="CD52" s="1121"/>
      <c r="CE52" s="1121"/>
      <c r="CF52" s="1121"/>
      <c r="CG52" s="1121"/>
      <c r="CH52" s="1121"/>
      <c r="CI52" s="1121"/>
      <c r="CJ52" s="1121"/>
      <c r="CK52" s="1123"/>
      <c r="CL52" s="1117"/>
      <c r="CM52" s="1117"/>
      <c r="CN52" s="1117"/>
      <c r="CO52" s="1117"/>
      <c r="CP52" s="1117"/>
      <c r="CQ52" s="1124"/>
      <c r="CR52" s="1119"/>
      <c r="CS52" s="1117"/>
      <c r="CT52" s="1119"/>
      <c r="CU52" s="1117"/>
      <c r="CV52" s="1117"/>
      <c r="CW52" s="1117"/>
      <c r="CX52" s="1117"/>
      <c r="CY52" s="1117"/>
      <c r="CZ52" s="1117"/>
      <c r="DA52" s="1117"/>
      <c r="DB52" s="1117"/>
      <c r="DC52" s="1124"/>
      <c r="DD52" s="1119"/>
      <c r="DE52" s="1117"/>
      <c r="DF52" s="1117"/>
      <c r="DG52" s="1117"/>
      <c r="DH52" s="1117"/>
      <c r="DI52" s="1117"/>
      <c r="DJ52" s="1117"/>
      <c r="DK52" s="1117"/>
      <c r="DL52" s="1117"/>
      <c r="DM52" s="1117"/>
      <c r="DN52" s="1117"/>
      <c r="DO52" s="1117"/>
      <c r="DP52" s="1119"/>
      <c r="DQ52" s="1119"/>
      <c r="DR52" s="1119"/>
      <c r="DS52" s="1125"/>
      <c r="DT52" s="1118"/>
      <c r="DU52" s="1118"/>
    </row>
    <row r="53" spans="2:125" s="82" customFormat="1" ht="11.25" customHeight="1">
      <c r="B53" s="88"/>
      <c r="C53" s="1104"/>
      <c r="D53" s="111"/>
      <c r="E53" s="94"/>
      <c r="F53" s="94"/>
      <c r="G53" s="64"/>
      <c r="H53" s="64"/>
      <c r="I53" s="95"/>
      <c r="J53" s="64"/>
      <c r="K53" s="64"/>
      <c r="L53" s="64"/>
      <c r="M53" s="64"/>
      <c r="N53" s="64"/>
      <c r="O53" s="64"/>
      <c r="P53" s="64"/>
      <c r="Q53" s="64"/>
      <c r="R53" s="64"/>
      <c r="S53" s="64"/>
      <c r="T53" s="96"/>
      <c r="U53" s="64"/>
      <c r="V53" s="64"/>
      <c r="W53" s="64"/>
      <c r="X53" s="64"/>
      <c r="Y53" s="64"/>
      <c r="Z53" s="64"/>
      <c r="AA53" s="64"/>
      <c r="AB53" s="64"/>
      <c r="AC53" s="64"/>
      <c r="AD53" s="64"/>
      <c r="AE53" s="64"/>
      <c r="AF53" s="96"/>
      <c r="AG53" s="64"/>
      <c r="AH53" s="64"/>
      <c r="AI53" s="64"/>
      <c r="AJ53" s="64"/>
      <c r="AK53" s="64"/>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1117"/>
      <c r="BL53" s="1117"/>
      <c r="BM53" s="1117"/>
      <c r="BN53" s="1117"/>
      <c r="BO53" s="1117"/>
      <c r="BP53" s="1117"/>
      <c r="BQ53" s="1117"/>
      <c r="BR53" s="1117"/>
      <c r="BS53" s="1117"/>
      <c r="BT53" s="1117"/>
      <c r="BU53" s="1117"/>
      <c r="BV53" s="1117"/>
      <c r="BW53" s="1117"/>
      <c r="BX53" s="1117"/>
      <c r="BY53" s="1117"/>
      <c r="BZ53" s="1117"/>
      <c r="CA53" s="1117"/>
      <c r="CB53" s="1117"/>
      <c r="CC53" s="1117"/>
      <c r="CD53" s="1117"/>
      <c r="CE53" s="1124"/>
      <c r="CF53" s="1117"/>
      <c r="CG53" s="1117"/>
      <c r="CH53" s="1117"/>
      <c r="CI53" s="1117"/>
      <c r="CJ53" s="1117"/>
      <c r="CK53" s="1117"/>
      <c r="CL53" s="1117"/>
      <c r="CM53" s="1117"/>
      <c r="CN53" s="1117"/>
      <c r="CO53" s="1117"/>
      <c r="CP53" s="1117"/>
      <c r="CQ53" s="1124"/>
      <c r="CR53" s="1117"/>
      <c r="CS53" s="1117"/>
      <c r="CT53" s="1117"/>
      <c r="CU53" s="1117"/>
      <c r="CV53" s="1117"/>
      <c r="CW53" s="1117"/>
      <c r="CX53" s="1117"/>
      <c r="CY53" s="1117"/>
      <c r="CZ53" s="1117"/>
      <c r="DA53" s="1117"/>
      <c r="DB53" s="1117"/>
      <c r="DC53" s="1124"/>
      <c r="DD53" s="1117"/>
      <c r="DE53" s="1117"/>
      <c r="DF53" s="1117"/>
      <c r="DG53" s="1117"/>
      <c r="DH53" s="1117"/>
      <c r="DI53" s="1117"/>
      <c r="DJ53" s="1117"/>
      <c r="DK53" s="1117"/>
      <c r="DL53" s="1117"/>
      <c r="DM53" s="1117"/>
      <c r="DN53" s="1117"/>
      <c r="DO53" s="1117"/>
      <c r="DP53" s="1117"/>
      <c r="DQ53" s="1117"/>
      <c r="DR53" s="1117"/>
      <c r="DS53" s="1126"/>
      <c r="DT53" s="1127"/>
      <c r="DU53" s="1127"/>
    </row>
    <row r="54" spans="2:125" s="82" customFormat="1" ht="12.75" customHeight="1">
      <c r="B54" s="88"/>
      <c r="C54" s="1104"/>
      <c r="D54" s="111"/>
      <c r="E54" s="94"/>
      <c r="F54" s="94"/>
      <c r="G54" s="64"/>
      <c r="H54" s="64"/>
      <c r="I54" s="95"/>
      <c r="J54" s="64"/>
      <c r="K54" s="64"/>
      <c r="L54" s="64"/>
      <c r="M54" s="64"/>
      <c r="N54" s="64"/>
      <c r="O54" s="64"/>
      <c r="P54" s="64"/>
      <c r="Q54" s="64"/>
      <c r="R54" s="64"/>
      <c r="S54" s="64"/>
      <c r="T54" s="96"/>
      <c r="U54" s="64"/>
      <c r="V54" s="64"/>
      <c r="W54" s="64"/>
      <c r="X54" s="64"/>
      <c r="Y54" s="64"/>
      <c r="Z54" s="64"/>
      <c r="AA54" s="64"/>
      <c r="AB54" s="64"/>
      <c r="AC54" s="64"/>
      <c r="AD54" s="64"/>
      <c r="AE54" s="64"/>
      <c r="AF54" s="96"/>
      <c r="AG54" s="64"/>
      <c r="AH54" s="64"/>
      <c r="AI54" s="64"/>
      <c r="AJ54" s="64"/>
      <c r="AK54" s="64"/>
      <c r="AL54" s="71"/>
      <c r="AM54" s="71"/>
      <c r="AN54" s="71"/>
      <c r="AO54" s="71"/>
      <c r="AP54" s="71"/>
      <c r="AQ54" s="71"/>
      <c r="AR54" s="71"/>
      <c r="AS54" s="108"/>
      <c r="AT54" s="71"/>
      <c r="AU54" s="71"/>
      <c r="AV54" s="71"/>
      <c r="AW54" s="71"/>
      <c r="AX54" s="71"/>
      <c r="AY54" s="71"/>
      <c r="AZ54" s="71"/>
      <c r="BA54" s="71"/>
      <c r="BB54" s="71"/>
      <c r="BC54" s="71"/>
      <c r="BD54" s="71"/>
      <c r="BE54" s="71"/>
      <c r="BF54" s="71"/>
      <c r="BG54" s="71"/>
      <c r="BH54" s="71"/>
      <c r="BI54" s="71"/>
      <c r="BJ54" s="71"/>
      <c r="BK54" s="1117"/>
      <c r="BL54" s="1117"/>
      <c r="BM54" s="1117"/>
      <c r="BN54" s="1117"/>
      <c r="BO54" s="1117"/>
      <c r="BP54" s="1117"/>
      <c r="BQ54" s="1117"/>
      <c r="BR54" s="1117"/>
      <c r="BS54" s="1117"/>
      <c r="BT54" s="1117"/>
      <c r="BU54" s="75" t="s">
        <v>220</v>
      </c>
      <c r="BV54" s="1117"/>
      <c r="BW54" s="1117"/>
      <c r="BX54" s="71"/>
      <c r="BY54" s="1128"/>
      <c r="BZ54" s="1129"/>
      <c r="CA54" s="1129"/>
      <c r="CB54" s="1129"/>
      <c r="CC54" s="1129"/>
      <c r="CD54" s="1129"/>
      <c r="CE54" s="1129"/>
      <c r="CF54" s="1129"/>
      <c r="CG54" s="1121"/>
      <c r="CH54" s="1121"/>
      <c r="CI54" s="1121"/>
      <c r="CJ54" s="1121"/>
      <c r="CK54" s="1121"/>
      <c r="CL54" s="1121"/>
      <c r="CM54" s="1123"/>
      <c r="CN54" s="1117"/>
      <c r="CO54" s="1117"/>
      <c r="CP54" s="1117"/>
      <c r="CQ54" s="1124"/>
      <c r="CR54" s="1117"/>
      <c r="CS54" s="1117"/>
      <c r="CT54" s="1117"/>
      <c r="CU54" s="1117"/>
      <c r="CV54" s="1117"/>
      <c r="CW54" s="1117"/>
      <c r="CX54" s="1117"/>
      <c r="CY54" s="1117"/>
      <c r="CZ54" s="1117"/>
      <c r="DA54" s="1117"/>
      <c r="DB54" s="1117"/>
      <c r="DC54" s="1124"/>
      <c r="DD54" s="1117"/>
      <c r="DE54" s="1117"/>
      <c r="DF54" s="1117"/>
      <c r="DG54" s="1117"/>
      <c r="DH54" s="1117"/>
      <c r="DI54" s="1117"/>
      <c r="DJ54" s="1117"/>
      <c r="DK54" s="1117"/>
      <c r="DL54" s="1117"/>
      <c r="DM54" s="1117"/>
      <c r="DN54" s="1117"/>
      <c r="DO54" s="1117"/>
      <c r="DP54" s="1117"/>
      <c r="DQ54" s="1117"/>
      <c r="DR54" s="1117"/>
      <c r="DS54" s="1126"/>
      <c r="DT54" s="1127"/>
      <c r="DU54" s="1127"/>
    </row>
    <row r="55" spans="2:125" s="71" customFormat="1" ht="11.25" customHeight="1">
      <c r="B55" s="64"/>
      <c r="C55" s="125"/>
      <c r="D55" s="93"/>
      <c r="E55" s="94"/>
      <c r="F55" s="94"/>
      <c r="G55" s="64"/>
      <c r="H55" s="64"/>
      <c r="I55" s="95"/>
      <c r="J55" s="64"/>
      <c r="K55" s="64"/>
      <c r="L55" s="64"/>
      <c r="M55" s="64"/>
      <c r="N55" s="64"/>
      <c r="O55" s="64"/>
      <c r="P55" s="64"/>
      <c r="Q55" s="64"/>
      <c r="R55" s="64"/>
      <c r="S55" s="64"/>
      <c r="T55" s="96"/>
      <c r="U55" s="64"/>
      <c r="V55" s="64"/>
      <c r="W55" s="64"/>
      <c r="X55" s="118"/>
      <c r="Y55" s="118"/>
      <c r="Z55" s="118"/>
      <c r="AA55" s="118"/>
      <c r="AB55" s="64"/>
      <c r="AC55" s="64"/>
      <c r="AD55" s="64"/>
      <c r="AE55" s="64"/>
      <c r="AF55" s="96"/>
      <c r="AG55" s="64"/>
      <c r="AH55" s="64"/>
      <c r="AI55" s="64"/>
      <c r="AJ55" s="64"/>
      <c r="AK55" s="64"/>
      <c r="AL55" s="88"/>
      <c r="AM55" s="64"/>
      <c r="AN55" s="64"/>
      <c r="AO55" s="64"/>
      <c r="AP55" s="64"/>
      <c r="AQ55" s="64"/>
      <c r="AR55" s="64"/>
      <c r="AS55" s="103"/>
      <c r="AT55" s="64"/>
      <c r="AU55" s="64"/>
      <c r="AV55" s="64"/>
      <c r="AW55" s="64"/>
      <c r="BG55" s="81"/>
      <c r="BK55" s="1117"/>
      <c r="BL55" s="1117"/>
      <c r="BM55" s="1117"/>
      <c r="BN55" s="1117"/>
      <c r="BO55" s="1117"/>
      <c r="BP55" s="1117"/>
      <c r="BQ55" s="1117"/>
      <c r="BR55" s="1117"/>
      <c r="BS55" s="1124"/>
      <c r="BT55" s="1117"/>
      <c r="BU55" s="1117"/>
      <c r="BV55" s="1117"/>
      <c r="BW55" s="1117"/>
      <c r="BX55" s="1117"/>
      <c r="BY55" s="1117"/>
      <c r="BZ55" s="1117"/>
      <c r="CA55" s="1117"/>
      <c r="CB55" s="1117"/>
      <c r="CC55" s="1117"/>
      <c r="CD55" s="1117"/>
      <c r="CE55" s="1124"/>
      <c r="CF55" s="1117"/>
      <c r="CG55" s="1117"/>
      <c r="CH55" s="1117"/>
      <c r="CI55" s="1117"/>
      <c r="CJ55" s="1117"/>
      <c r="CK55" s="1117"/>
      <c r="CL55" s="1117"/>
      <c r="CM55" s="1117"/>
      <c r="CN55" s="1117"/>
      <c r="CO55" s="1117"/>
      <c r="CP55" s="1117"/>
      <c r="CQ55" s="1124"/>
      <c r="CR55" s="1117"/>
      <c r="CS55" s="1117"/>
      <c r="CT55" s="1117"/>
      <c r="CU55" s="1117"/>
      <c r="CV55" s="1117"/>
      <c r="CW55" s="1117"/>
      <c r="CX55" s="1117"/>
      <c r="CY55" s="1117"/>
      <c r="CZ55" s="1117"/>
      <c r="DA55" s="1117"/>
      <c r="DB55" s="1117"/>
      <c r="DC55" s="1124"/>
      <c r="DD55" s="1117"/>
      <c r="DE55" s="1117"/>
      <c r="DF55" s="1117"/>
      <c r="DG55" s="1117"/>
      <c r="DH55" s="1117"/>
      <c r="DI55" s="1117"/>
      <c r="DJ55" s="1117"/>
      <c r="DK55" s="1117"/>
      <c r="DL55" s="1117"/>
      <c r="DM55" s="1117"/>
      <c r="DN55" s="1117"/>
      <c r="DO55" s="1117"/>
      <c r="DP55" s="1117"/>
      <c r="DQ55" s="1117"/>
      <c r="DR55" s="1117"/>
      <c r="DS55" s="1126"/>
      <c r="DT55" s="1117"/>
      <c r="DU55" s="1117"/>
    </row>
    <row r="56" spans="2:125" s="72" customFormat="1" ht="11.25" customHeight="1">
      <c r="B56" s="97"/>
      <c r="C56" s="1102"/>
      <c r="D56" s="93"/>
      <c r="E56" s="94"/>
      <c r="F56" s="94"/>
      <c r="G56" s="64"/>
      <c r="H56" s="64"/>
      <c r="I56" s="95"/>
      <c r="J56" s="64"/>
      <c r="K56" s="64"/>
      <c r="L56" s="64"/>
      <c r="M56" s="64"/>
      <c r="N56" s="64"/>
      <c r="O56" s="64"/>
      <c r="P56" s="64"/>
      <c r="Q56" s="64"/>
      <c r="R56" s="64"/>
      <c r="S56" s="64"/>
      <c r="T56" s="96"/>
      <c r="U56" s="64"/>
      <c r="V56" s="64"/>
      <c r="W56" s="64"/>
      <c r="X56" s="118"/>
      <c r="Y56" s="118"/>
      <c r="Z56" s="118"/>
      <c r="AA56" s="118"/>
      <c r="AB56" s="64"/>
      <c r="AC56" s="64"/>
      <c r="AD56" s="64"/>
      <c r="AE56" s="64"/>
      <c r="AF56" s="96"/>
      <c r="AG56" s="64"/>
      <c r="AH56" s="64"/>
      <c r="AI56" s="64"/>
      <c r="AJ56" s="64"/>
      <c r="AK56" s="64"/>
      <c r="AL56" s="71"/>
      <c r="AM56" s="64"/>
      <c r="AN56" s="64"/>
      <c r="AO56" s="64"/>
      <c r="AP56" s="78"/>
      <c r="AQ56" s="64"/>
      <c r="AR56" s="64"/>
      <c r="AS56" s="103"/>
      <c r="AT56" s="64"/>
      <c r="AU56" s="64"/>
      <c r="AV56" s="64"/>
      <c r="AW56" s="64"/>
      <c r="AX56" s="71"/>
      <c r="AY56" s="71"/>
      <c r="AZ56" s="71"/>
      <c r="BA56" s="71"/>
      <c r="BB56" s="71"/>
      <c r="BC56" s="71"/>
      <c r="BD56" s="71"/>
      <c r="BE56" s="78"/>
      <c r="BF56" s="71"/>
      <c r="BG56" s="81"/>
      <c r="BH56" s="71"/>
      <c r="BI56" s="71"/>
      <c r="BJ56" s="71"/>
      <c r="BK56" s="1117"/>
      <c r="BL56" s="1119"/>
      <c r="BM56" s="1117"/>
      <c r="BN56" s="1119"/>
      <c r="BO56" s="1119"/>
      <c r="BP56" s="1117"/>
      <c r="BQ56" s="1119"/>
      <c r="BR56" s="1119"/>
      <c r="BS56" s="1119"/>
      <c r="BT56" s="1119"/>
      <c r="BU56" s="1119"/>
      <c r="BV56" s="1119"/>
      <c r="BW56" s="1119"/>
      <c r="BX56" s="75" t="s">
        <v>406</v>
      </c>
      <c r="BY56" s="1119"/>
      <c r="BZ56" s="1117"/>
      <c r="CA56" s="1117"/>
      <c r="CB56" s="1117"/>
      <c r="CC56" s="1117"/>
      <c r="CD56" s="1117"/>
      <c r="CE56" s="1117"/>
      <c r="CF56" s="1117"/>
      <c r="CG56" s="1128"/>
      <c r="CH56" s="1129"/>
      <c r="CI56" s="1129"/>
      <c r="CJ56" s="1129"/>
      <c r="CK56" s="1129"/>
      <c r="CL56" s="1129"/>
      <c r="CM56" s="1130"/>
      <c r="CN56" s="1117"/>
      <c r="CO56" s="1117"/>
      <c r="CP56" s="1117"/>
      <c r="CQ56" s="1124"/>
      <c r="CR56" s="1119"/>
      <c r="CS56" s="1117"/>
      <c r="CT56" s="1119"/>
      <c r="CU56" s="1117"/>
      <c r="CV56" s="1117"/>
      <c r="CW56" s="1117"/>
      <c r="CX56" s="1117"/>
      <c r="CY56" s="1117"/>
      <c r="CZ56" s="1117"/>
      <c r="DA56" s="1117"/>
      <c r="DB56" s="1117"/>
      <c r="DC56" s="1124"/>
      <c r="DD56" s="1119"/>
      <c r="DE56" s="1117"/>
      <c r="DF56" s="1117"/>
      <c r="DG56" s="1117"/>
      <c r="DH56" s="1117"/>
      <c r="DI56" s="1117"/>
      <c r="DJ56" s="1117"/>
      <c r="DK56" s="1117"/>
      <c r="DL56" s="1117"/>
      <c r="DM56" s="1117"/>
      <c r="DN56" s="1117"/>
      <c r="DO56" s="1117"/>
      <c r="DP56" s="1119"/>
      <c r="DQ56" s="1119"/>
      <c r="DR56" s="1119"/>
      <c r="DS56" s="1125"/>
      <c r="DT56" s="1118"/>
      <c r="DU56" s="1118"/>
    </row>
    <row r="57" spans="2:125" s="71" customFormat="1" ht="8.25" customHeight="1">
      <c r="B57" s="64"/>
      <c r="C57" s="125"/>
      <c r="D57" s="93"/>
      <c r="E57" s="94"/>
      <c r="F57" s="94"/>
      <c r="G57" s="64"/>
      <c r="H57" s="64"/>
      <c r="I57" s="95"/>
      <c r="J57" s="64"/>
      <c r="K57" s="64"/>
      <c r="L57" s="64"/>
      <c r="M57" s="64"/>
      <c r="N57" s="64"/>
      <c r="O57" s="64"/>
      <c r="P57" s="64"/>
      <c r="Q57" s="64"/>
      <c r="R57" s="64"/>
      <c r="S57" s="64"/>
      <c r="T57" s="96"/>
      <c r="U57" s="64"/>
      <c r="V57" s="64"/>
      <c r="W57" s="64"/>
      <c r="X57" s="118"/>
      <c r="Y57" s="118"/>
      <c r="Z57" s="118"/>
      <c r="AA57" s="118"/>
      <c r="AB57" s="64"/>
      <c r="AC57" s="64"/>
      <c r="AD57" s="64"/>
      <c r="AE57" s="64"/>
      <c r="AF57" s="96"/>
      <c r="AG57" s="64"/>
      <c r="AH57" s="64"/>
      <c r="AI57" s="64"/>
      <c r="AJ57" s="64"/>
      <c r="AK57" s="64"/>
      <c r="AL57" s="88"/>
      <c r="AM57" s="64"/>
      <c r="AN57" s="64"/>
      <c r="AO57" s="64"/>
      <c r="AP57" s="64"/>
      <c r="AQ57" s="64"/>
      <c r="AR57" s="64"/>
      <c r="AS57" s="103"/>
      <c r="AT57" s="64"/>
      <c r="AU57" s="64"/>
      <c r="AV57" s="64"/>
      <c r="AW57" s="64"/>
      <c r="BG57" s="81"/>
      <c r="BK57" s="1117"/>
      <c r="BL57" s="1117"/>
      <c r="BM57" s="1117"/>
      <c r="BN57" s="1117"/>
      <c r="BO57" s="1117"/>
      <c r="BP57" s="1117"/>
      <c r="BQ57" s="1117"/>
      <c r="BR57" s="1117"/>
      <c r="BS57" s="1117"/>
      <c r="BT57" s="1117"/>
      <c r="BU57" s="1117"/>
      <c r="BV57" s="1117"/>
      <c r="BW57" s="1117"/>
      <c r="BX57" s="1117"/>
      <c r="BY57" s="1117"/>
      <c r="BZ57" s="1117"/>
      <c r="CA57" s="1117"/>
      <c r="CB57" s="1117"/>
      <c r="CC57" s="1117"/>
      <c r="CD57" s="1117"/>
      <c r="CE57" s="1124"/>
      <c r="CF57" s="1117"/>
      <c r="CG57" s="1117"/>
      <c r="CH57" s="1117"/>
      <c r="CI57" s="1117"/>
      <c r="CJ57" s="1117"/>
      <c r="CK57" s="1117"/>
      <c r="CL57" s="1117"/>
      <c r="CM57" s="1117"/>
      <c r="CN57" s="1117"/>
      <c r="CO57" s="1117"/>
      <c r="CP57" s="1117"/>
      <c r="CQ57" s="1124"/>
      <c r="CR57" s="1117"/>
      <c r="CS57" s="1117"/>
      <c r="CT57" s="1117"/>
      <c r="CU57" s="1117"/>
      <c r="CV57" s="1117"/>
      <c r="CW57" s="1117"/>
      <c r="CX57" s="1117"/>
      <c r="CY57" s="1117"/>
      <c r="CZ57" s="1117"/>
      <c r="DA57" s="1117"/>
      <c r="DB57" s="1117"/>
      <c r="DC57" s="1124"/>
      <c r="DD57" s="1117"/>
      <c r="DE57" s="1117"/>
      <c r="DF57" s="1117"/>
      <c r="DG57" s="1117"/>
      <c r="DH57" s="1117"/>
      <c r="DI57" s="1117"/>
      <c r="DJ57" s="1117"/>
      <c r="DK57" s="1117"/>
      <c r="DL57" s="1117"/>
      <c r="DM57" s="1117"/>
      <c r="DN57" s="1117"/>
      <c r="DO57" s="1117"/>
      <c r="DP57" s="1117"/>
      <c r="DQ57" s="1117"/>
      <c r="DR57" s="1117"/>
      <c r="DS57" s="1126"/>
      <c r="DT57" s="1117"/>
      <c r="DU57" s="1117"/>
    </row>
    <row r="58" spans="2:125" s="72" customFormat="1" ht="11.25" customHeight="1">
      <c r="B58" s="97"/>
      <c r="C58" s="1102"/>
      <c r="D58" s="93"/>
      <c r="E58" s="94"/>
      <c r="F58" s="94"/>
      <c r="G58" s="64"/>
      <c r="H58" s="64"/>
      <c r="I58" s="95"/>
      <c r="J58" s="64"/>
      <c r="K58" s="64"/>
      <c r="L58" s="64"/>
      <c r="M58" s="64"/>
      <c r="N58" s="64"/>
      <c r="O58" s="64"/>
      <c r="P58" s="64"/>
      <c r="Q58" s="64"/>
      <c r="R58" s="64"/>
      <c r="S58" s="64"/>
      <c r="T58" s="96"/>
      <c r="U58" s="64"/>
      <c r="V58" s="64"/>
      <c r="W58" s="64"/>
      <c r="X58" s="118"/>
      <c r="Y58" s="118"/>
      <c r="Z58" s="118"/>
      <c r="AA58" s="118"/>
      <c r="AB58" s="64"/>
      <c r="AC58" s="64"/>
      <c r="AD58" s="64"/>
      <c r="AE58" s="64"/>
      <c r="AF58" s="96"/>
      <c r="AG58" s="64"/>
      <c r="AH58" s="64"/>
      <c r="AI58" s="64"/>
      <c r="AJ58" s="64"/>
      <c r="AK58" s="64"/>
      <c r="AL58" s="71"/>
      <c r="AM58" s="64"/>
      <c r="AN58" s="64"/>
      <c r="AO58" s="64"/>
      <c r="AP58" s="64"/>
      <c r="AQ58" s="64"/>
      <c r="AR58" s="64"/>
      <c r="AS58" s="103"/>
      <c r="AT58" s="64"/>
      <c r="AU58" s="78"/>
      <c r="AV58" s="64"/>
      <c r="AW58" s="64"/>
      <c r="AX58" s="71"/>
      <c r="AY58" s="71"/>
      <c r="AZ58" s="71"/>
      <c r="BA58" s="71"/>
      <c r="BB58" s="71"/>
      <c r="BC58" s="71"/>
      <c r="BD58" s="71"/>
      <c r="BE58" s="71"/>
      <c r="BF58" s="71"/>
      <c r="BG58" s="81"/>
      <c r="BH58" s="78"/>
      <c r="BI58" s="71"/>
      <c r="BJ58" s="71"/>
      <c r="BK58" s="1117"/>
      <c r="BL58" s="1117"/>
      <c r="BM58" s="1117"/>
      <c r="BN58" s="1117"/>
      <c r="BO58" s="1119"/>
      <c r="BP58" s="1117"/>
      <c r="BQ58" s="1119"/>
      <c r="BR58" s="1117"/>
      <c r="BS58" s="1119"/>
      <c r="BT58" s="1119"/>
      <c r="BU58" s="1119"/>
      <c r="BV58" s="1119"/>
      <c r="BW58" s="1119"/>
      <c r="BX58" s="1119"/>
      <c r="BY58" s="1119"/>
      <c r="BZ58" s="1119"/>
      <c r="CA58" s="1119"/>
      <c r="CB58" s="1117"/>
      <c r="CC58" s="1117"/>
      <c r="CD58" s="1117"/>
      <c r="CE58" s="1124"/>
      <c r="CF58" s="1119"/>
      <c r="CG58" s="1117"/>
      <c r="CH58" s="75" t="s">
        <v>407</v>
      </c>
      <c r="CI58" s="1117"/>
      <c r="CJ58" s="1117"/>
      <c r="CK58" s="1128"/>
      <c r="CL58" s="1129"/>
      <c r="CM58" s="1129"/>
      <c r="CN58" s="1129"/>
      <c r="CO58" s="1129"/>
      <c r="CP58" s="1129"/>
      <c r="CQ58" s="1130"/>
      <c r="CR58" s="1117"/>
      <c r="CS58" s="1117"/>
      <c r="CT58" s="1119"/>
      <c r="CU58" s="1117"/>
      <c r="CV58" s="1117"/>
      <c r="CW58" s="1117"/>
      <c r="CX58" s="1117"/>
      <c r="CY58" s="1117"/>
      <c r="CZ58" s="1117"/>
      <c r="DA58" s="1117"/>
      <c r="DB58" s="1117"/>
      <c r="DC58" s="1124"/>
      <c r="DD58" s="1119"/>
      <c r="DE58" s="1117"/>
      <c r="DF58" s="1117"/>
      <c r="DG58" s="1117"/>
      <c r="DH58" s="1117"/>
      <c r="DI58" s="1117"/>
      <c r="DJ58" s="1117"/>
      <c r="DK58" s="1117"/>
      <c r="DL58" s="1117"/>
      <c r="DM58" s="1117"/>
      <c r="DN58" s="1117"/>
      <c r="DO58" s="1117"/>
      <c r="DP58" s="1119"/>
      <c r="DQ58" s="1119"/>
      <c r="DR58" s="1119"/>
      <c r="DS58" s="1125"/>
      <c r="DT58" s="1118"/>
      <c r="DU58" s="1118"/>
    </row>
    <row r="59" spans="2:125" s="82" customFormat="1" ht="8.25" customHeight="1">
      <c r="B59" s="64"/>
      <c r="C59" s="125"/>
      <c r="D59" s="93"/>
      <c r="E59" s="94"/>
      <c r="F59" s="94"/>
      <c r="G59" s="64"/>
      <c r="H59" s="64"/>
      <c r="I59" s="95"/>
      <c r="J59" s="64"/>
      <c r="K59" s="64"/>
      <c r="L59" s="64"/>
      <c r="M59" s="64"/>
      <c r="N59" s="64"/>
      <c r="O59" s="64"/>
      <c r="P59" s="64"/>
      <c r="Q59" s="64"/>
      <c r="R59" s="64"/>
      <c r="S59" s="64"/>
      <c r="T59" s="96"/>
      <c r="U59" s="64"/>
      <c r="V59" s="64"/>
      <c r="W59" s="64"/>
      <c r="X59" s="118"/>
      <c r="Y59" s="118"/>
      <c r="Z59" s="118"/>
      <c r="AA59" s="118"/>
      <c r="AB59" s="64"/>
      <c r="AC59" s="64"/>
      <c r="AD59" s="64"/>
      <c r="AE59" s="64"/>
      <c r="AF59" s="96"/>
      <c r="AG59" s="64"/>
      <c r="AH59" s="64"/>
      <c r="AI59" s="64"/>
      <c r="AJ59" s="64"/>
      <c r="AK59" s="64"/>
      <c r="AL59" s="71"/>
      <c r="AM59" s="64"/>
      <c r="AN59" s="64"/>
      <c r="AO59" s="64"/>
      <c r="AP59" s="64"/>
      <c r="AQ59" s="64"/>
      <c r="AR59" s="64"/>
      <c r="AS59" s="103"/>
      <c r="AT59" s="64"/>
      <c r="AU59" s="88"/>
      <c r="AV59" s="64"/>
      <c r="AW59" s="64"/>
      <c r="AX59" s="71"/>
      <c r="AY59" s="71"/>
      <c r="AZ59" s="71"/>
      <c r="BA59" s="71"/>
      <c r="BB59" s="71"/>
      <c r="BC59" s="71"/>
      <c r="BD59" s="71"/>
      <c r="BE59" s="71"/>
      <c r="BF59" s="71"/>
      <c r="BG59" s="81"/>
      <c r="BH59" s="71"/>
      <c r="BI59" s="71"/>
      <c r="BJ59" s="71"/>
      <c r="BK59" s="1117"/>
      <c r="BL59" s="1117"/>
      <c r="BM59" s="1117"/>
      <c r="BN59" s="1117"/>
      <c r="BO59" s="1117"/>
      <c r="BP59" s="1117"/>
      <c r="BQ59" s="1117"/>
      <c r="BR59" s="1117"/>
      <c r="BS59" s="1117"/>
      <c r="BT59" s="1117"/>
      <c r="BU59" s="1117"/>
      <c r="BV59" s="1117"/>
      <c r="BW59" s="1117"/>
      <c r="BX59" s="1117"/>
      <c r="BY59" s="1117"/>
      <c r="BZ59" s="1117"/>
      <c r="CA59" s="1117"/>
      <c r="CB59" s="1117"/>
      <c r="CC59" s="1117"/>
      <c r="CD59" s="1117"/>
      <c r="CE59" s="1124"/>
      <c r="CF59" s="1117"/>
      <c r="CG59" s="1117"/>
      <c r="CH59" s="1117"/>
      <c r="CI59" s="1117"/>
      <c r="CJ59" s="1117"/>
      <c r="CK59" s="1117"/>
      <c r="CL59" s="1117"/>
      <c r="CM59" s="1117"/>
      <c r="CN59" s="1117"/>
      <c r="CO59" s="1117"/>
      <c r="CP59" s="1117"/>
      <c r="CQ59" s="1117"/>
      <c r="CR59" s="1117"/>
      <c r="CS59" s="1117"/>
      <c r="CT59" s="1117"/>
      <c r="CU59" s="1117"/>
      <c r="CV59" s="1117"/>
      <c r="CW59" s="1117"/>
      <c r="CX59" s="1117"/>
      <c r="CY59" s="1117"/>
      <c r="CZ59" s="1117"/>
      <c r="DA59" s="1117"/>
      <c r="DB59" s="1117"/>
      <c r="DC59" s="1124"/>
      <c r="DD59" s="1117"/>
      <c r="DE59" s="1117"/>
      <c r="DF59" s="1117"/>
      <c r="DG59" s="1117"/>
      <c r="DH59" s="1117"/>
      <c r="DI59" s="1117"/>
      <c r="DJ59" s="1117"/>
      <c r="DK59" s="1117"/>
      <c r="DL59" s="1117"/>
      <c r="DM59" s="1117"/>
      <c r="DN59" s="1117"/>
      <c r="DO59" s="1117"/>
      <c r="DP59" s="1117"/>
      <c r="DQ59" s="1117"/>
      <c r="DR59" s="1117"/>
      <c r="DS59" s="1126"/>
      <c r="DT59" s="1127"/>
      <c r="DU59" s="1127"/>
    </row>
    <row r="60" spans="2:125" s="72" customFormat="1" ht="11.25" customHeight="1">
      <c r="B60" s="97"/>
      <c r="C60" s="1102"/>
      <c r="D60" s="93"/>
      <c r="E60" s="94"/>
      <c r="F60" s="94"/>
      <c r="G60" s="64"/>
      <c r="H60" s="64"/>
      <c r="I60" s="95"/>
      <c r="J60" s="64"/>
      <c r="K60" s="64"/>
      <c r="L60" s="64"/>
      <c r="M60" s="64"/>
      <c r="N60" s="64"/>
      <c r="O60" s="64"/>
      <c r="P60" s="64"/>
      <c r="Q60" s="64"/>
      <c r="R60" s="64"/>
      <c r="S60" s="64"/>
      <c r="T60" s="96"/>
      <c r="U60" s="64"/>
      <c r="V60" s="64"/>
      <c r="W60" s="64"/>
      <c r="X60" s="118"/>
      <c r="Y60" s="78"/>
      <c r="Z60" s="118"/>
      <c r="AA60" s="118"/>
      <c r="AB60" s="64"/>
      <c r="AC60" s="64"/>
      <c r="AD60" s="88"/>
      <c r="AE60" s="64"/>
      <c r="AF60" s="96"/>
      <c r="AG60" s="78"/>
      <c r="AH60" s="64"/>
      <c r="AI60" s="78"/>
      <c r="AJ60" s="64"/>
      <c r="AK60" s="64"/>
      <c r="AL60" s="71"/>
      <c r="AM60" s="64"/>
      <c r="AN60" s="64"/>
      <c r="AO60" s="64"/>
      <c r="AP60" s="64"/>
      <c r="AQ60" s="64"/>
      <c r="AR60" s="64"/>
      <c r="AS60" s="103"/>
      <c r="AT60" s="64"/>
      <c r="AU60" s="88"/>
      <c r="AV60" s="64"/>
      <c r="AW60" s="64"/>
      <c r="AX60" s="71"/>
      <c r="AY60" s="71"/>
      <c r="AZ60" s="71"/>
      <c r="BA60" s="71"/>
      <c r="BB60" s="71"/>
      <c r="BC60" s="71"/>
      <c r="BD60" s="71"/>
      <c r="BE60" s="71"/>
      <c r="BF60" s="71"/>
      <c r="BG60" s="81"/>
      <c r="BH60" s="71"/>
      <c r="BI60" s="71"/>
      <c r="BJ60" s="78"/>
      <c r="BK60" s="1117"/>
      <c r="BL60" s="1117"/>
      <c r="BM60" s="1117"/>
      <c r="BN60" s="1117"/>
      <c r="BO60" s="1117"/>
      <c r="BP60" s="1117"/>
      <c r="BQ60" s="1117"/>
      <c r="BR60" s="1119"/>
      <c r="BS60" s="1117"/>
      <c r="BT60" s="1117"/>
      <c r="BU60" s="1117"/>
      <c r="BV60" s="1119"/>
      <c r="BW60" s="1117"/>
      <c r="BX60" s="1119"/>
      <c r="BY60" s="1119"/>
      <c r="BZ60" s="1119"/>
      <c r="CA60" s="1119"/>
      <c r="CB60" s="1119"/>
      <c r="CC60" s="1119"/>
      <c r="CD60" s="1117"/>
      <c r="CE60" s="1131"/>
      <c r="CF60" s="1117"/>
      <c r="CG60" s="1117"/>
      <c r="CH60" s="1117"/>
      <c r="CI60" s="1117"/>
      <c r="CJ60" s="1117"/>
      <c r="CK60" s="1117"/>
      <c r="CL60" s="1117"/>
      <c r="CM60" s="75" t="s">
        <v>408</v>
      </c>
      <c r="CN60" s="123"/>
      <c r="CO60" s="1121"/>
      <c r="CP60" s="1121"/>
      <c r="CQ60" s="1121"/>
      <c r="CR60" s="1121"/>
      <c r="CS60" s="1123"/>
      <c r="CT60" s="1119"/>
      <c r="CU60" s="1117"/>
      <c r="CV60" s="1117"/>
      <c r="CW60" s="1117"/>
      <c r="CX60" s="1117"/>
      <c r="CY60" s="1117"/>
      <c r="CZ60" s="1117"/>
      <c r="DA60" s="1117"/>
      <c r="DB60" s="1117"/>
      <c r="DC60" s="1124"/>
      <c r="DD60" s="1119"/>
      <c r="DE60" s="1117"/>
      <c r="DF60" s="1117"/>
      <c r="DG60" s="1117"/>
      <c r="DH60" s="1117"/>
      <c r="DI60" s="1117"/>
      <c r="DJ60" s="1117"/>
      <c r="DK60" s="1117"/>
      <c r="DL60" s="1117"/>
      <c r="DM60" s="1117"/>
      <c r="DN60" s="1117"/>
      <c r="DO60" s="1117"/>
      <c r="DP60" s="1119"/>
      <c r="DQ60" s="1119"/>
      <c r="DR60" s="1119"/>
      <c r="DS60" s="1125"/>
      <c r="DT60" s="1118"/>
      <c r="DU60" s="1118"/>
    </row>
    <row r="61" spans="2:125" s="82" customFormat="1" ht="4.5" customHeight="1">
      <c r="B61" s="64"/>
      <c r="C61" s="125"/>
      <c r="D61" s="108"/>
      <c r="E61" s="94"/>
      <c r="F61" s="94"/>
      <c r="G61" s="64"/>
      <c r="H61" s="64"/>
      <c r="I61" s="110"/>
      <c r="J61" s="64"/>
      <c r="K61" s="64"/>
      <c r="L61" s="64"/>
      <c r="M61" s="64"/>
      <c r="N61" s="64"/>
      <c r="O61" s="64"/>
      <c r="P61" s="64"/>
      <c r="Q61" s="64"/>
      <c r="R61" s="64"/>
      <c r="S61" s="64"/>
      <c r="T61" s="96"/>
      <c r="U61" s="64"/>
      <c r="V61" s="64"/>
      <c r="W61" s="64"/>
      <c r="X61" s="118"/>
      <c r="Y61" s="118"/>
      <c r="Z61" s="64"/>
      <c r="AA61" s="64"/>
      <c r="AB61" s="64"/>
      <c r="AC61" s="64"/>
      <c r="AD61" s="64"/>
      <c r="AE61" s="64"/>
      <c r="AF61" s="96"/>
      <c r="AG61" s="64"/>
      <c r="AH61" s="64"/>
      <c r="AI61" s="64"/>
      <c r="AJ61" s="64"/>
      <c r="AK61" s="64"/>
      <c r="AL61" s="64"/>
      <c r="AM61" s="64"/>
      <c r="AN61" s="64"/>
      <c r="AO61" s="64"/>
      <c r="AP61" s="64"/>
      <c r="AQ61" s="64"/>
      <c r="AR61" s="64"/>
      <c r="AS61" s="103"/>
      <c r="AT61" s="64"/>
      <c r="AU61" s="64"/>
      <c r="AV61" s="64"/>
      <c r="AW61" s="64"/>
      <c r="AX61" s="71"/>
      <c r="AY61" s="71"/>
      <c r="AZ61" s="71"/>
      <c r="BA61" s="71"/>
      <c r="BB61" s="71"/>
      <c r="BC61" s="71"/>
      <c r="BD61" s="71"/>
      <c r="BE61" s="71"/>
      <c r="BF61" s="71"/>
      <c r="BG61" s="81"/>
      <c r="BH61" s="71"/>
      <c r="BI61" s="71"/>
      <c r="BJ61" s="71"/>
      <c r="BK61" s="1117"/>
      <c r="BL61" s="1117"/>
      <c r="BM61" s="1117"/>
      <c r="BN61" s="1117"/>
      <c r="BO61" s="1117"/>
      <c r="BP61" s="1117"/>
      <c r="BQ61" s="1117"/>
      <c r="BR61" s="1117"/>
      <c r="BS61" s="1124"/>
      <c r="BT61" s="1117"/>
      <c r="BU61" s="1117"/>
      <c r="BV61" s="1117"/>
      <c r="BW61" s="1117"/>
      <c r="BX61" s="1117"/>
      <c r="BY61" s="1117"/>
      <c r="BZ61" s="1117"/>
      <c r="CA61" s="1117"/>
      <c r="CB61" s="1117"/>
      <c r="CC61" s="1117"/>
      <c r="CD61" s="1117"/>
      <c r="CE61" s="1124"/>
      <c r="CF61" s="1117"/>
      <c r="CG61" s="1117"/>
      <c r="CH61" s="1117"/>
      <c r="CI61" s="1117"/>
      <c r="CJ61" s="1117"/>
      <c r="CK61" s="1117"/>
      <c r="CL61" s="1117"/>
      <c r="CM61" s="1117"/>
      <c r="CN61" s="1117"/>
      <c r="CO61" s="1117"/>
      <c r="CP61" s="1117"/>
      <c r="CQ61" s="1124"/>
      <c r="CR61" s="1117"/>
      <c r="CS61" s="1117"/>
      <c r="CT61" s="1117"/>
      <c r="CU61" s="1117"/>
      <c r="CV61" s="1117"/>
      <c r="CW61" s="1117"/>
      <c r="CX61" s="1117"/>
      <c r="CY61" s="1117"/>
      <c r="CZ61" s="1117"/>
      <c r="DA61" s="1117"/>
      <c r="DB61" s="1117"/>
      <c r="DC61" s="1124"/>
      <c r="DD61" s="1117"/>
      <c r="DE61" s="1117"/>
      <c r="DF61" s="1117"/>
      <c r="DG61" s="1117"/>
      <c r="DH61" s="1117"/>
      <c r="DI61" s="1117"/>
      <c r="DJ61" s="1117"/>
      <c r="DK61" s="1117"/>
      <c r="DL61" s="1117"/>
      <c r="DM61" s="1117"/>
      <c r="DN61" s="1117"/>
      <c r="DO61" s="1117"/>
      <c r="DP61" s="1117"/>
      <c r="DQ61" s="1117"/>
      <c r="DR61" s="1117"/>
      <c r="DS61" s="1126"/>
      <c r="DT61" s="1127"/>
      <c r="DU61" s="1127"/>
    </row>
    <row r="62" spans="2:125" s="72" customFormat="1" ht="13.5" customHeight="1">
      <c r="B62" s="97"/>
      <c r="C62" s="1102"/>
      <c r="D62" s="109"/>
      <c r="E62" s="94"/>
      <c r="F62" s="94"/>
      <c r="G62" s="64"/>
      <c r="H62" s="64"/>
      <c r="I62" s="125"/>
      <c r="J62" s="64"/>
      <c r="K62" s="64"/>
      <c r="L62" s="64"/>
      <c r="M62" s="64"/>
      <c r="N62" s="64"/>
      <c r="O62" s="64"/>
      <c r="P62" s="64"/>
      <c r="Q62" s="64"/>
      <c r="R62" s="64"/>
      <c r="S62" s="64"/>
      <c r="T62" s="96"/>
      <c r="U62" s="64"/>
      <c r="V62" s="64"/>
      <c r="W62" s="64"/>
      <c r="X62" s="118"/>
      <c r="Y62" s="118"/>
      <c r="Z62" s="229"/>
      <c r="AA62" s="78"/>
      <c r="AB62" s="229"/>
      <c r="AC62" s="229"/>
      <c r="AD62" s="229"/>
      <c r="AE62" s="229"/>
      <c r="AF62" s="232"/>
      <c r="AG62" s="229"/>
      <c r="AH62" s="229"/>
      <c r="AI62" s="229"/>
      <c r="AJ62" s="229"/>
      <c r="AK62" s="118"/>
      <c r="AL62" s="118"/>
      <c r="AM62" s="118"/>
      <c r="AN62" s="64"/>
      <c r="AO62" s="64"/>
      <c r="AP62" s="64"/>
      <c r="AQ62" s="64"/>
      <c r="AR62" s="64"/>
      <c r="AS62" s="64"/>
      <c r="AT62" s="78"/>
      <c r="AU62" s="64"/>
      <c r="AV62" s="78"/>
      <c r="AW62" s="78"/>
      <c r="AX62" s="71"/>
      <c r="AY62" s="71"/>
      <c r="AZ62" s="71"/>
      <c r="BA62" s="71"/>
      <c r="BB62" s="71"/>
      <c r="BC62" s="71"/>
      <c r="BD62" s="78"/>
      <c r="BE62" s="78"/>
      <c r="BF62" s="78"/>
      <c r="BG62" s="79"/>
      <c r="BH62" s="78"/>
      <c r="BI62" s="78"/>
      <c r="BJ62" s="78"/>
      <c r="BK62" s="1117"/>
      <c r="BL62" s="1117"/>
      <c r="BM62" s="1119"/>
      <c r="BN62" s="1116" t="s">
        <v>43</v>
      </c>
      <c r="BO62" s="1119"/>
      <c r="BP62" s="1117"/>
      <c r="BQ62" s="1117"/>
      <c r="BR62" s="1119"/>
      <c r="BS62" s="1119"/>
      <c r="BT62" s="1117"/>
      <c r="BU62" s="1117"/>
      <c r="BV62" s="1117"/>
      <c r="BW62" s="1117"/>
      <c r="BX62" s="1117"/>
      <c r="BY62" s="1119"/>
      <c r="BZ62" s="1117"/>
      <c r="CA62" s="1119"/>
      <c r="CB62" s="1119"/>
      <c r="CC62" s="1117"/>
      <c r="CD62" s="1117"/>
      <c r="CE62" s="1124"/>
      <c r="CF62" s="1117"/>
      <c r="CG62" s="1119"/>
      <c r="CH62" s="75" t="s">
        <v>44</v>
      </c>
      <c r="CI62" s="1117"/>
      <c r="CJ62" s="1128"/>
      <c r="CK62" s="1130"/>
      <c r="CL62" s="78"/>
      <c r="CM62" s="78"/>
      <c r="CN62" s="78"/>
      <c r="CO62" s="78"/>
      <c r="CP62" s="1117"/>
      <c r="CQ62" s="1124"/>
      <c r="CR62" s="1117"/>
      <c r="CS62" s="1119"/>
      <c r="CT62" s="1119"/>
      <c r="CU62" s="1119"/>
      <c r="CV62" s="1119"/>
      <c r="CW62" s="1119"/>
      <c r="CX62" s="1119"/>
      <c r="CY62" s="1119"/>
      <c r="CZ62" s="1117"/>
      <c r="DA62" s="1117"/>
      <c r="DB62" s="1117"/>
      <c r="DC62" s="1124"/>
      <c r="DD62" s="1117"/>
      <c r="DE62" s="1119"/>
      <c r="DF62" s="1117"/>
      <c r="DG62" s="1117"/>
      <c r="DH62" s="1117"/>
      <c r="DI62" s="1117"/>
      <c r="DJ62" s="1117"/>
      <c r="DK62" s="1117"/>
      <c r="DL62" s="1117"/>
      <c r="DM62" s="1117"/>
      <c r="DN62" s="1117"/>
      <c r="DO62" s="1117"/>
      <c r="DP62" s="1119"/>
      <c r="DQ62" s="1119"/>
      <c r="DR62" s="1119"/>
      <c r="DS62" s="1125"/>
      <c r="DT62" s="1118"/>
      <c r="DU62" s="1118"/>
    </row>
    <row r="63" spans="2:125" s="71" customFormat="1" ht="3.75" customHeight="1">
      <c r="B63" s="64"/>
      <c r="C63" s="125"/>
      <c r="D63" s="103"/>
      <c r="E63" s="94"/>
      <c r="F63" s="94"/>
      <c r="G63" s="64"/>
      <c r="H63" s="64"/>
      <c r="I63" s="125"/>
      <c r="J63" s="64"/>
      <c r="K63" s="64"/>
      <c r="L63" s="64"/>
      <c r="M63" s="64"/>
      <c r="N63" s="64"/>
      <c r="O63" s="64"/>
      <c r="P63" s="64"/>
      <c r="Q63" s="64"/>
      <c r="R63" s="64"/>
      <c r="S63" s="64"/>
      <c r="T63" s="96"/>
      <c r="U63" s="64"/>
      <c r="V63" s="64"/>
      <c r="W63" s="64"/>
      <c r="X63" s="118"/>
      <c r="Y63" s="118"/>
      <c r="Z63" s="64"/>
      <c r="AA63" s="64"/>
      <c r="AB63" s="64"/>
      <c r="AC63" s="64"/>
      <c r="AD63" s="64"/>
      <c r="AE63" s="64"/>
      <c r="AF63" s="96"/>
      <c r="AG63" s="64"/>
      <c r="AH63" s="64"/>
      <c r="AI63" s="64"/>
      <c r="AJ63" s="64"/>
      <c r="AK63" s="64"/>
      <c r="AL63" s="64"/>
      <c r="AM63" s="64"/>
      <c r="AN63" s="64"/>
      <c r="AO63" s="64"/>
      <c r="AP63" s="64"/>
      <c r="AQ63" s="64"/>
      <c r="AR63" s="64"/>
      <c r="AS63" s="64"/>
      <c r="AT63" s="64"/>
      <c r="AU63" s="64"/>
      <c r="AV63" s="88"/>
      <c r="AW63" s="64"/>
      <c r="BG63" s="81"/>
      <c r="BK63" s="1117"/>
      <c r="BL63" s="1117"/>
      <c r="BM63" s="1117"/>
      <c r="BN63" s="1117"/>
      <c r="BO63" s="1117"/>
      <c r="BP63" s="1117"/>
      <c r="BQ63" s="1117"/>
      <c r="BR63" s="1117"/>
      <c r="BS63" s="1117"/>
      <c r="BT63" s="1117"/>
      <c r="BU63" s="1117"/>
      <c r="BV63" s="1117"/>
      <c r="BW63" s="1117"/>
      <c r="BX63" s="1117"/>
      <c r="BY63" s="1117"/>
      <c r="BZ63" s="1117"/>
      <c r="CA63" s="1117"/>
      <c r="CB63" s="1117"/>
      <c r="CC63" s="1117"/>
      <c r="CD63" s="1117"/>
      <c r="CE63" s="1117"/>
      <c r="CF63" s="1117"/>
      <c r="CG63" s="1117"/>
      <c r="CH63" s="1117"/>
      <c r="CI63" s="1117"/>
      <c r="CJ63" s="1117"/>
      <c r="CK63" s="1117"/>
      <c r="CL63" s="1117"/>
      <c r="CM63" s="1117"/>
      <c r="CN63" s="1117"/>
      <c r="CO63" s="1117"/>
      <c r="CP63" s="1117"/>
      <c r="CQ63" s="1124"/>
      <c r="CR63" s="1117"/>
      <c r="CS63" s="1117"/>
      <c r="CT63" s="1117"/>
      <c r="CU63" s="1117"/>
      <c r="CV63" s="1117"/>
      <c r="CW63" s="1117"/>
      <c r="CX63" s="1117"/>
      <c r="CY63" s="1117"/>
      <c r="CZ63" s="1117"/>
      <c r="DA63" s="1117"/>
      <c r="DB63" s="1117"/>
      <c r="DC63" s="1124"/>
      <c r="DD63" s="1117"/>
      <c r="DE63" s="1117"/>
      <c r="DF63" s="1117"/>
      <c r="DG63" s="1117"/>
      <c r="DH63" s="1117"/>
      <c r="DI63" s="1117"/>
      <c r="DJ63" s="1117"/>
      <c r="DK63" s="1117"/>
      <c r="DL63" s="1117"/>
      <c r="DM63" s="1117"/>
      <c r="DN63" s="1117"/>
      <c r="DO63" s="1117"/>
      <c r="DP63" s="1117"/>
      <c r="DQ63" s="1117"/>
      <c r="DR63" s="1117"/>
      <c r="DS63" s="1126"/>
      <c r="DT63" s="1117"/>
      <c r="DU63" s="1117"/>
    </row>
    <row r="64" spans="2:125" s="72" customFormat="1" ht="11.25" customHeight="1">
      <c r="B64" s="97"/>
      <c r="C64" s="1102"/>
      <c r="D64" s="103"/>
      <c r="E64" s="94"/>
      <c r="F64" s="94"/>
      <c r="G64" s="64"/>
      <c r="H64" s="64"/>
      <c r="I64" s="125"/>
      <c r="J64" s="64"/>
      <c r="K64" s="64"/>
      <c r="L64" s="64"/>
      <c r="M64" s="64"/>
      <c r="N64" s="64"/>
      <c r="O64" s="64"/>
      <c r="P64" s="64"/>
      <c r="Q64" s="64"/>
      <c r="R64" s="64"/>
      <c r="S64" s="64"/>
      <c r="T64" s="96"/>
      <c r="U64" s="64"/>
      <c r="V64" s="64"/>
      <c r="W64" s="64"/>
      <c r="X64" s="118"/>
      <c r="Y64" s="118"/>
      <c r="Z64" s="118"/>
      <c r="AA64" s="118"/>
      <c r="AB64" s="64"/>
      <c r="AC64" s="64"/>
      <c r="AD64" s="64"/>
      <c r="AE64" s="64"/>
      <c r="AF64" s="96"/>
      <c r="AG64" s="64"/>
      <c r="AH64" s="64"/>
      <c r="AI64" s="64"/>
      <c r="AJ64" s="64"/>
      <c r="AK64" s="64"/>
      <c r="AL64" s="64"/>
      <c r="AM64" s="64"/>
      <c r="AN64" s="64"/>
      <c r="AO64" s="64"/>
      <c r="AP64" s="64"/>
      <c r="AQ64" s="64"/>
      <c r="AR64" s="96"/>
      <c r="AS64" s="64"/>
      <c r="AT64" s="64"/>
      <c r="AU64" s="64"/>
      <c r="AV64" s="64"/>
      <c r="AW64" s="64"/>
      <c r="AX64" s="71"/>
      <c r="AY64" s="78"/>
      <c r="AZ64" s="71"/>
      <c r="BA64" s="71"/>
      <c r="BB64" s="71"/>
      <c r="BC64" s="71"/>
      <c r="BD64" s="78"/>
      <c r="BE64" s="78"/>
      <c r="BF64" s="78"/>
      <c r="BG64" s="81"/>
      <c r="BH64" s="78"/>
      <c r="BI64" s="71"/>
      <c r="BJ64" s="78"/>
      <c r="BK64" s="75"/>
      <c r="BL64" s="1119"/>
      <c r="BM64" s="1117"/>
      <c r="BN64" s="1117"/>
      <c r="BO64" s="1117"/>
      <c r="BP64" s="1117"/>
      <c r="BQ64" s="1117"/>
      <c r="BR64" s="1119"/>
      <c r="BS64" s="1119"/>
      <c r="BT64" s="1119"/>
      <c r="BU64" s="1117"/>
      <c r="BV64" s="1117"/>
      <c r="BW64" s="1117"/>
      <c r="BX64" s="1117"/>
      <c r="BY64" s="1117"/>
      <c r="BZ64" s="1117"/>
      <c r="CA64" s="1119"/>
      <c r="CB64" s="1119"/>
      <c r="CC64" s="1119"/>
      <c r="CD64" s="1119"/>
      <c r="CE64" s="1119"/>
      <c r="CF64" s="1117"/>
      <c r="CG64" s="1117"/>
      <c r="CH64" s="1119"/>
      <c r="CI64" s="1117"/>
      <c r="CJ64" s="1117"/>
      <c r="CK64" s="75" t="s">
        <v>45</v>
      </c>
      <c r="CL64" s="1128"/>
      <c r="CM64" s="1129"/>
      <c r="CN64" s="126"/>
      <c r="CO64" s="1129"/>
      <c r="CP64" s="1129"/>
      <c r="CQ64" s="1129"/>
      <c r="CR64" s="1129"/>
      <c r="CS64" s="1129"/>
      <c r="CT64" s="1121"/>
      <c r="CU64" s="1121"/>
      <c r="CV64" s="1121"/>
      <c r="CW64" s="1121"/>
      <c r="CX64" s="1121"/>
      <c r="CY64" s="1121"/>
      <c r="CZ64" s="1123"/>
      <c r="DA64" s="1117"/>
      <c r="DB64" s="1117"/>
      <c r="DC64" s="1124"/>
      <c r="DD64" s="1117"/>
      <c r="DE64" s="1117"/>
      <c r="DF64" s="1117"/>
      <c r="DG64" s="1117"/>
      <c r="DH64" s="1117"/>
      <c r="DI64" s="1117"/>
      <c r="DJ64" s="1117"/>
      <c r="DK64" s="1117"/>
      <c r="DL64" s="1117"/>
      <c r="DM64" s="1117"/>
      <c r="DN64" s="1117"/>
      <c r="DO64" s="1117"/>
      <c r="DP64" s="1119"/>
      <c r="DQ64" s="1119"/>
      <c r="DR64" s="1119"/>
      <c r="DS64" s="1125"/>
      <c r="DT64" s="1118"/>
      <c r="DU64" s="1118"/>
    </row>
    <row r="65" spans="2:125" s="71" customFormat="1" ht="3.75" customHeight="1">
      <c r="B65" s="64"/>
      <c r="C65" s="125"/>
      <c r="D65" s="103"/>
      <c r="E65" s="64"/>
      <c r="F65" s="64"/>
      <c r="G65" s="64"/>
      <c r="H65" s="64"/>
      <c r="I65" s="125"/>
      <c r="J65" s="64"/>
      <c r="K65" s="64"/>
      <c r="L65" s="64"/>
      <c r="M65" s="64"/>
      <c r="N65" s="64"/>
      <c r="O65" s="64"/>
      <c r="P65" s="64"/>
      <c r="Q65" s="64"/>
      <c r="R65" s="64"/>
      <c r="S65" s="64"/>
      <c r="T65" s="96"/>
      <c r="U65" s="64"/>
      <c r="V65" s="64"/>
      <c r="W65" s="64"/>
      <c r="X65" s="118"/>
      <c r="Y65" s="118"/>
      <c r="Z65" s="118"/>
      <c r="AA65" s="118"/>
      <c r="AB65" s="64"/>
      <c r="AC65" s="64"/>
      <c r="AD65" s="64"/>
      <c r="AE65" s="64"/>
      <c r="AF65" s="96"/>
      <c r="AG65" s="64"/>
      <c r="AH65" s="64"/>
      <c r="AI65" s="64"/>
      <c r="AJ65" s="64"/>
      <c r="AK65" s="64"/>
      <c r="AL65" s="64"/>
      <c r="AM65" s="64"/>
      <c r="AN65" s="64"/>
      <c r="AO65" s="64"/>
      <c r="AP65" s="64"/>
      <c r="AQ65" s="64"/>
      <c r="AR65" s="96"/>
      <c r="AS65" s="64"/>
      <c r="AT65" s="64"/>
      <c r="AU65" s="64"/>
      <c r="AV65" s="88"/>
      <c r="AW65" s="64"/>
      <c r="BG65" s="81"/>
      <c r="BK65" s="1117"/>
      <c r="BL65" s="1117"/>
      <c r="BM65" s="1117"/>
      <c r="BN65" s="1117"/>
      <c r="BO65" s="1117"/>
      <c r="BP65" s="1117"/>
      <c r="BQ65" s="1117"/>
      <c r="BR65" s="1117"/>
      <c r="BS65" s="1124"/>
      <c r="BT65" s="1117"/>
      <c r="BU65" s="1117"/>
      <c r="BV65" s="1117"/>
      <c r="BW65" s="1117"/>
      <c r="BX65" s="1117"/>
      <c r="BY65" s="1117"/>
      <c r="BZ65" s="1117"/>
      <c r="CA65" s="1117"/>
      <c r="CB65" s="1117"/>
      <c r="CC65" s="1117"/>
      <c r="CD65" s="1117"/>
      <c r="CE65" s="1124"/>
      <c r="CF65" s="1117"/>
      <c r="CG65" s="1117"/>
      <c r="CH65" s="1117"/>
      <c r="CI65" s="1117"/>
      <c r="CJ65" s="1117"/>
      <c r="CK65" s="1117"/>
      <c r="CL65" s="1117"/>
      <c r="CM65" s="1117"/>
      <c r="CN65" s="1117"/>
      <c r="CO65" s="1117"/>
      <c r="CP65" s="1117"/>
      <c r="CQ65" s="1124"/>
      <c r="CR65" s="1117"/>
      <c r="CS65" s="1117"/>
      <c r="CT65" s="1117"/>
      <c r="CU65" s="1117"/>
      <c r="CV65" s="1117"/>
      <c r="CW65" s="1117"/>
      <c r="CX65" s="1117"/>
      <c r="CY65" s="1117"/>
      <c r="CZ65" s="1117"/>
      <c r="DA65" s="1117"/>
      <c r="DB65" s="1117"/>
      <c r="DC65" s="1124"/>
      <c r="DD65" s="1117"/>
      <c r="DE65" s="1117"/>
      <c r="DF65" s="1117"/>
      <c r="DG65" s="1117"/>
      <c r="DH65" s="1117"/>
      <c r="DI65" s="1117"/>
      <c r="DJ65" s="1117"/>
      <c r="DK65" s="1117"/>
      <c r="DL65" s="1117"/>
      <c r="DM65" s="1117"/>
      <c r="DN65" s="1117"/>
      <c r="DO65" s="1117"/>
      <c r="DP65" s="1117"/>
      <c r="DQ65" s="1117"/>
      <c r="DR65" s="1117"/>
      <c r="DS65" s="1126"/>
      <c r="DT65" s="1117"/>
      <c r="DU65" s="1117"/>
    </row>
    <row r="66" spans="2:125" s="72" customFormat="1" ht="11.25" customHeight="1">
      <c r="B66" s="97"/>
      <c r="C66" s="1102"/>
      <c r="D66" s="103"/>
      <c r="E66" s="78"/>
      <c r="F66" s="78"/>
      <c r="G66" s="78"/>
      <c r="H66" s="78"/>
      <c r="I66" s="110" t="s">
        <v>46</v>
      </c>
      <c r="J66" s="64"/>
      <c r="K66" s="64"/>
      <c r="L66" s="64"/>
      <c r="M66" s="64"/>
      <c r="N66" s="64"/>
      <c r="O66" s="64"/>
      <c r="P66" s="64"/>
      <c r="Q66" s="64"/>
      <c r="R66" s="64"/>
      <c r="S66" s="64"/>
      <c r="T66" s="64"/>
      <c r="U66" s="64"/>
      <c r="V66" s="25"/>
      <c r="W66" s="25"/>
      <c r="X66" s="25"/>
      <c r="Y66" s="25"/>
      <c r="Z66" s="25"/>
      <c r="AA66" s="25"/>
      <c r="AB66" s="25"/>
      <c r="AC66" s="25"/>
      <c r="AD66" s="25"/>
      <c r="AE66" s="25"/>
      <c r="AF66" s="25"/>
      <c r="AG66" s="64"/>
      <c r="AH66" s="64"/>
      <c r="AI66" s="64"/>
      <c r="AJ66" s="64"/>
      <c r="AK66" s="64"/>
      <c r="AL66" s="64"/>
      <c r="AM66" s="64"/>
      <c r="AN66" s="64"/>
      <c r="AO66" s="64"/>
      <c r="AP66" s="64"/>
      <c r="AQ66" s="64"/>
      <c r="AR66" s="96"/>
      <c r="AS66" s="64"/>
      <c r="AT66" s="64"/>
      <c r="AU66" s="64"/>
      <c r="AV66" s="64"/>
      <c r="AW66" s="64"/>
      <c r="AX66" s="71"/>
      <c r="AY66" s="71"/>
      <c r="AZ66" s="71"/>
      <c r="BA66" s="78"/>
      <c r="BB66" s="78"/>
      <c r="BC66" s="71"/>
      <c r="BD66" s="71"/>
      <c r="BE66" s="78"/>
      <c r="BF66" s="78"/>
      <c r="BG66" s="79"/>
      <c r="BH66" s="71"/>
      <c r="BI66" s="78"/>
      <c r="BJ66" s="71"/>
      <c r="BK66" s="1119"/>
      <c r="BL66" s="1119"/>
      <c r="BM66" s="75"/>
      <c r="BN66" s="1117"/>
      <c r="BO66" s="1117"/>
      <c r="BP66" s="1119"/>
      <c r="BQ66" s="1119"/>
      <c r="BR66" s="1119"/>
      <c r="BS66" s="1131"/>
      <c r="BT66" s="1119"/>
      <c r="BU66" s="1119"/>
      <c r="BV66" s="1119"/>
      <c r="BW66" s="1117"/>
      <c r="BX66" s="1119"/>
      <c r="BY66" s="1119"/>
      <c r="BZ66" s="1119"/>
      <c r="CA66" s="1119"/>
      <c r="CB66" s="1119"/>
      <c r="CC66" s="1119"/>
      <c r="CD66" s="1117"/>
      <c r="CE66" s="1119"/>
      <c r="CF66" s="1117"/>
      <c r="CG66" s="1117"/>
      <c r="CH66" s="1119"/>
      <c r="CI66" s="1117"/>
      <c r="CJ66" s="1117"/>
      <c r="CK66" s="1117"/>
      <c r="CL66" s="1117"/>
      <c r="CM66" s="1117"/>
      <c r="CN66" s="1117"/>
      <c r="CO66" s="1117"/>
      <c r="CP66" s="1117"/>
      <c r="CQ66" s="1124"/>
      <c r="CR66" s="78"/>
      <c r="CS66" s="1117"/>
      <c r="CT66" s="1117" t="s">
        <v>47</v>
      </c>
      <c r="CU66" s="1117"/>
      <c r="CV66" s="1117"/>
      <c r="CW66" s="1117"/>
      <c r="CX66" s="1117"/>
      <c r="CY66" s="1117"/>
      <c r="CZ66" s="1117"/>
      <c r="DA66" s="1117"/>
      <c r="DB66" s="1117"/>
      <c r="DC66" s="1124"/>
      <c r="DD66" s="1117"/>
      <c r="DE66" s="1117"/>
      <c r="DF66" s="1119"/>
      <c r="DG66" s="1117"/>
      <c r="DH66" s="1117"/>
      <c r="DI66" s="1117"/>
      <c r="DJ66" s="1117"/>
      <c r="DK66" s="1117"/>
      <c r="DL66" s="1117"/>
      <c r="DM66" s="1117"/>
      <c r="DN66" s="1117"/>
      <c r="DO66" s="1117"/>
      <c r="DP66" s="1119"/>
      <c r="DQ66" s="1119"/>
      <c r="DR66" s="1119"/>
      <c r="DS66" s="1125"/>
      <c r="DT66" s="1118"/>
      <c r="DU66" s="1118"/>
    </row>
    <row r="67" spans="2:125" s="82" customFormat="1" ht="3.75" customHeight="1">
      <c r="B67" s="64"/>
      <c r="C67" s="125"/>
      <c r="D67" s="103"/>
      <c r="E67" s="71"/>
      <c r="F67" s="71"/>
      <c r="G67" s="71"/>
      <c r="H67" s="71"/>
      <c r="I67" s="125"/>
      <c r="J67" s="64"/>
      <c r="K67" s="64"/>
      <c r="L67" s="64"/>
      <c r="M67" s="64"/>
      <c r="N67" s="64"/>
      <c r="O67" s="64"/>
      <c r="P67" s="64"/>
      <c r="Q67" s="64"/>
      <c r="R67" s="64"/>
      <c r="S67" s="64"/>
      <c r="T67" s="64"/>
      <c r="U67" s="64"/>
      <c r="V67" s="25"/>
      <c r="W67" s="25"/>
      <c r="X67" s="25"/>
      <c r="Y67" s="25"/>
      <c r="Z67" s="25"/>
      <c r="AA67" s="25"/>
      <c r="AB67" s="25"/>
      <c r="AC67" s="25"/>
      <c r="AD67" s="25"/>
      <c r="AE67" s="25"/>
      <c r="AF67" s="25"/>
      <c r="AG67" s="64"/>
      <c r="AH67" s="64"/>
      <c r="AI67" s="64"/>
      <c r="AJ67" s="64"/>
      <c r="AK67" s="64"/>
      <c r="AL67" s="64"/>
      <c r="AM67" s="64"/>
      <c r="AN67" s="64"/>
      <c r="AO67" s="64"/>
      <c r="AP67" s="64"/>
      <c r="AQ67" s="64"/>
      <c r="AR67" s="96"/>
      <c r="AS67" s="64"/>
      <c r="AT67" s="64"/>
      <c r="AU67" s="64"/>
      <c r="AV67" s="64"/>
      <c r="AW67" s="64"/>
      <c r="AX67" s="71"/>
      <c r="AY67" s="71"/>
      <c r="AZ67" s="71"/>
      <c r="BA67" s="71"/>
      <c r="BB67" s="71"/>
      <c r="BC67" s="71"/>
      <c r="BD67" s="71"/>
      <c r="BE67" s="71"/>
      <c r="BF67" s="71"/>
      <c r="BG67" s="81"/>
      <c r="BH67" s="71"/>
      <c r="BI67" s="71"/>
      <c r="BJ67" s="71"/>
      <c r="BK67" s="1117"/>
      <c r="BL67" s="1117"/>
      <c r="BM67" s="1117"/>
      <c r="BN67" s="1117"/>
      <c r="BO67" s="1117"/>
      <c r="BP67" s="1117"/>
      <c r="BQ67" s="1117"/>
      <c r="BR67" s="1117"/>
      <c r="BS67" s="1124"/>
      <c r="BT67" s="1117"/>
      <c r="BU67" s="1117"/>
      <c r="BV67" s="1117"/>
      <c r="BW67" s="1117"/>
      <c r="BX67" s="1117"/>
      <c r="BY67" s="1117"/>
      <c r="BZ67" s="1117"/>
      <c r="CA67" s="1117"/>
      <c r="CB67" s="1117"/>
      <c r="CC67" s="1117"/>
      <c r="CD67" s="1117"/>
      <c r="CE67" s="1124"/>
      <c r="CF67" s="1117"/>
      <c r="CG67" s="1117"/>
      <c r="CH67" s="1117"/>
      <c r="CI67" s="1117"/>
      <c r="CJ67" s="1117"/>
      <c r="CK67" s="1117"/>
      <c r="CL67" s="1117"/>
      <c r="CM67" s="1117"/>
      <c r="CN67" s="1117"/>
      <c r="CO67" s="1117"/>
      <c r="CP67" s="1117"/>
      <c r="CQ67" s="1124"/>
      <c r="CR67" s="1117"/>
      <c r="CS67" s="1117"/>
      <c r="CT67" s="1117"/>
      <c r="CU67" s="1117"/>
      <c r="CV67" s="1117"/>
      <c r="CW67" s="1117"/>
      <c r="CX67" s="1117"/>
      <c r="CY67" s="1117"/>
      <c r="CZ67" s="1117"/>
      <c r="DA67" s="1117"/>
      <c r="DB67" s="1117"/>
      <c r="DC67" s="1124"/>
      <c r="DD67" s="1117"/>
      <c r="DE67" s="1117"/>
      <c r="DF67" s="1117"/>
      <c r="DG67" s="1117"/>
      <c r="DH67" s="1117"/>
      <c r="DI67" s="1117"/>
      <c r="DJ67" s="1117"/>
      <c r="DK67" s="1117"/>
      <c r="DL67" s="1117"/>
      <c r="DM67" s="1117"/>
      <c r="DN67" s="1117"/>
      <c r="DO67" s="1117"/>
      <c r="DP67" s="1117"/>
      <c r="DQ67" s="1117"/>
      <c r="DR67" s="1117"/>
      <c r="DS67" s="1126"/>
      <c r="DT67" s="1127"/>
      <c r="DU67" s="1127"/>
    </row>
    <row r="68" spans="2:125" s="72" customFormat="1" ht="11.25" customHeight="1">
      <c r="B68" s="97"/>
      <c r="C68" s="1102"/>
      <c r="D68" s="103"/>
      <c r="E68" s="78"/>
      <c r="F68" s="78"/>
      <c r="G68" s="78"/>
      <c r="H68" s="78"/>
      <c r="I68" s="128" t="s">
        <v>48</v>
      </c>
      <c r="J68" s="119"/>
      <c r="K68" s="119"/>
      <c r="L68" s="119"/>
      <c r="M68" s="119"/>
      <c r="N68" s="119"/>
      <c r="O68" s="119"/>
      <c r="P68" s="129"/>
      <c r="Q68" s="129"/>
      <c r="R68" s="129"/>
      <c r="S68" s="64"/>
      <c r="T68" s="64"/>
      <c r="U68" s="64"/>
      <c r="V68" s="25"/>
      <c r="W68" s="25"/>
      <c r="X68" s="25"/>
      <c r="Y68" s="25"/>
      <c r="Z68" s="25"/>
      <c r="AA68" s="25"/>
      <c r="AB68" s="25"/>
      <c r="AC68" s="25"/>
      <c r="AD68" s="25"/>
      <c r="AE68" s="25"/>
      <c r="AF68" s="25"/>
      <c r="AG68" s="64"/>
      <c r="AH68" s="64"/>
      <c r="AI68" s="64"/>
      <c r="AJ68" s="64"/>
      <c r="AK68" s="64"/>
      <c r="AL68" s="64"/>
      <c r="AM68" s="64"/>
      <c r="AN68" s="64"/>
      <c r="AO68" s="64"/>
      <c r="AP68" s="64"/>
      <c r="AQ68" s="78"/>
      <c r="AR68" s="96"/>
      <c r="AS68" s="64"/>
      <c r="AT68" s="64"/>
      <c r="AU68" s="64"/>
      <c r="AV68" s="64"/>
      <c r="AW68" s="64"/>
      <c r="AX68" s="71"/>
      <c r="AY68" s="71"/>
      <c r="AZ68" s="71"/>
      <c r="BA68" s="71"/>
      <c r="BB68" s="71"/>
      <c r="BC68" s="71"/>
      <c r="BD68" s="71"/>
      <c r="BE68" s="71"/>
      <c r="BF68" s="71"/>
      <c r="BG68" s="81"/>
      <c r="BH68" s="78"/>
      <c r="BI68" s="78"/>
      <c r="BJ68" s="78"/>
      <c r="BK68" s="1117"/>
      <c r="BL68" s="1117"/>
      <c r="BM68" s="1119"/>
      <c r="BN68" s="75"/>
      <c r="BO68" s="1119"/>
      <c r="BP68" s="1119"/>
      <c r="BQ68" s="1117"/>
      <c r="BR68" s="1119"/>
      <c r="BS68" s="1119"/>
      <c r="BT68" s="1119"/>
      <c r="BU68" s="1119"/>
      <c r="BV68" s="1119"/>
      <c r="BW68" s="1119"/>
      <c r="BX68" s="1119"/>
      <c r="BY68" s="1119"/>
      <c r="BZ68" s="1119"/>
      <c r="CA68" s="1119"/>
      <c r="CB68" s="1119"/>
      <c r="CC68" s="1119"/>
      <c r="CD68" s="1119"/>
      <c r="CE68" s="1119"/>
      <c r="CF68" s="1119"/>
      <c r="CG68" s="1117"/>
      <c r="CH68" s="1119"/>
      <c r="CI68" s="1117"/>
      <c r="CJ68" s="1119"/>
      <c r="CK68" s="1119"/>
      <c r="CL68" s="1119"/>
      <c r="CM68" s="1117"/>
      <c r="CN68" s="1119"/>
      <c r="CO68" s="1119"/>
      <c r="CP68" s="1119"/>
      <c r="CQ68" s="1119"/>
      <c r="CR68" s="1119"/>
      <c r="CS68" s="1119"/>
      <c r="CT68" s="1132" t="s">
        <v>49</v>
      </c>
      <c r="CU68" s="1117"/>
      <c r="CV68" s="1117"/>
      <c r="CW68" s="78"/>
      <c r="CX68" s="78"/>
      <c r="CY68" s="78"/>
      <c r="CZ68" s="78"/>
      <c r="DA68" s="1120"/>
      <c r="DB68" s="1121"/>
      <c r="DC68" s="1123"/>
      <c r="DD68" s="1117"/>
      <c r="DE68" s="1117"/>
      <c r="DF68" s="1119"/>
      <c r="DG68" s="1117"/>
      <c r="DH68" s="1117"/>
      <c r="DI68" s="1117"/>
      <c r="DJ68" s="1117"/>
      <c r="DK68" s="1117"/>
      <c r="DL68" s="1117"/>
      <c r="DM68" s="1117"/>
      <c r="DN68" s="1117"/>
      <c r="DO68" s="1117"/>
      <c r="DP68" s="1119"/>
      <c r="DQ68" s="1119"/>
      <c r="DR68" s="1119"/>
      <c r="DS68" s="1125"/>
      <c r="DT68" s="1118"/>
      <c r="DU68" s="1118"/>
    </row>
    <row r="69" spans="2:125" s="82" customFormat="1" ht="3.75" customHeight="1">
      <c r="B69" s="64"/>
      <c r="C69" s="125"/>
      <c r="D69" s="103"/>
      <c r="E69" s="71"/>
      <c r="F69" s="71"/>
      <c r="G69" s="71"/>
      <c r="H69" s="71"/>
      <c r="I69" s="110"/>
      <c r="J69" s="71"/>
      <c r="K69" s="71"/>
      <c r="L69" s="71"/>
      <c r="M69" s="71"/>
      <c r="N69" s="71"/>
      <c r="O69" s="71"/>
      <c r="P69" s="64"/>
      <c r="Q69" s="64"/>
      <c r="R69" s="64"/>
      <c r="S69" s="64"/>
      <c r="T69" s="64"/>
      <c r="U69" s="64"/>
      <c r="V69" s="25"/>
      <c r="W69" s="25"/>
      <c r="X69" s="25"/>
      <c r="Y69" s="25"/>
      <c r="Z69" s="25"/>
      <c r="AA69" s="25"/>
      <c r="AB69" s="25"/>
      <c r="AC69" s="25"/>
      <c r="AD69" s="25"/>
      <c r="AE69" s="25"/>
      <c r="AF69" s="25"/>
      <c r="AG69" s="64"/>
      <c r="AH69" s="64"/>
      <c r="AI69" s="64"/>
      <c r="AJ69" s="64"/>
      <c r="AK69" s="64"/>
      <c r="AL69" s="64"/>
      <c r="AM69" s="64"/>
      <c r="AN69" s="64"/>
      <c r="AO69" s="64"/>
      <c r="AP69" s="64"/>
      <c r="AQ69" s="88"/>
      <c r="AR69" s="96"/>
      <c r="AS69" s="64"/>
      <c r="AT69" s="64"/>
      <c r="AU69" s="64"/>
      <c r="AV69" s="64"/>
      <c r="AW69" s="64"/>
      <c r="AX69" s="71"/>
      <c r="AY69" s="71"/>
      <c r="AZ69" s="71"/>
      <c r="BA69" s="71"/>
      <c r="BB69" s="71"/>
      <c r="BC69" s="71"/>
      <c r="BD69" s="71"/>
      <c r="BE69" s="71"/>
      <c r="BF69" s="71"/>
      <c r="BG69" s="81"/>
      <c r="BH69" s="71"/>
      <c r="BI69" s="71"/>
      <c r="BJ69" s="71"/>
      <c r="BK69" s="1117"/>
      <c r="BL69" s="1117"/>
      <c r="BM69" s="1117"/>
      <c r="BN69" s="1117"/>
      <c r="BO69" s="1117"/>
      <c r="BP69" s="1117"/>
      <c r="BQ69" s="1117"/>
      <c r="BR69" s="1117"/>
      <c r="BS69" s="1124"/>
      <c r="BT69" s="1117"/>
      <c r="BU69" s="1117"/>
      <c r="BV69" s="1117"/>
      <c r="BW69" s="1117"/>
      <c r="BX69" s="1117"/>
      <c r="BY69" s="1117"/>
      <c r="BZ69" s="1117"/>
      <c r="CA69" s="1117"/>
      <c r="CB69" s="1117"/>
      <c r="CC69" s="1117"/>
      <c r="CD69" s="1124"/>
      <c r="CE69" s="1117"/>
      <c r="CF69" s="1117"/>
      <c r="CG69" s="1117"/>
      <c r="CH69" s="1117"/>
      <c r="CI69" s="1117"/>
      <c r="CJ69" s="1117"/>
      <c r="CK69" s="1117"/>
      <c r="CL69" s="1117"/>
      <c r="CM69" s="1117"/>
      <c r="CN69" s="1117"/>
      <c r="CO69" s="1117"/>
      <c r="CP69" s="1117"/>
      <c r="CQ69" s="1124"/>
      <c r="CR69" s="1117"/>
      <c r="CS69" s="1117"/>
      <c r="CT69" s="1117"/>
      <c r="CU69" s="1117"/>
      <c r="CV69" s="1117"/>
      <c r="CW69" s="71"/>
      <c r="CX69" s="1117"/>
      <c r="CY69" s="1117"/>
      <c r="CZ69" s="1117"/>
      <c r="DA69" s="1117"/>
      <c r="DB69" s="1117"/>
      <c r="DC69" s="1117"/>
      <c r="DD69" s="1117"/>
      <c r="DE69" s="1117"/>
      <c r="DF69" s="1117"/>
      <c r="DG69" s="1117"/>
      <c r="DH69" s="1117"/>
      <c r="DI69" s="1117"/>
      <c r="DJ69" s="1117"/>
      <c r="DK69" s="1117"/>
      <c r="DL69" s="1117"/>
      <c r="DM69" s="1117"/>
      <c r="DN69" s="1117"/>
      <c r="DO69" s="1117"/>
      <c r="DP69" s="1117"/>
      <c r="DQ69" s="1117"/>
      <c r="DR69" s="1117"/>
      <c r="DS69" s="1126"/>
      <c r="DT69" s="1127"/>
      <c r="DU69" s="1127"/>
    </row>
    <row r="70" spans="2:125" s="72" customFormat="1" ht="11.25" customHeight="1">
      <c r="B70" s="97"/>
      <c r="C70" s="1102"/>
      <c r="D70" s="103"/>
      <c r="E70" s="78"/>
      <c r="F70" s="78"/>
      <c r="G70" s="78"/>
      <c r="H70" s="78"/>
      <c r="I70" s="130" t="s">
        <v>50</v>
      </c>
      <c r="J70" s="120"/>
      <c r="K70" s="120"/>
      <c r="L70" s="131"/>
      <c r="M70" s="131"/>
      <c r="N70" s="131"/>
      <c r="O70" s="131"/>
      <c r="P70" s="122"/>
      <c r="Q70" s="122"/>
      <c r="R70" s="127"/>
      <c r="S70" s="64"/>
      <c r="T70" s="64"/>
      <c r="U70" s="64"/>
      <c r="V70" s="25"/>
      <c r="W70" s="25"/>
      <c r="X70" s="25"/>
      <c r="Y70" s="25"/>
      <c r="Z70" s="25"/>
      <c r="AA70" s="25"/>
      <c r="AB70" s="25"/>
      <c r="AC70" s="25"/>
      <c r="AD70" s="25"/>
      <c r="AE70" s="25"/>
      <c r="AF70" s="25"/>
      <c r="AG70" s="64"/>
      <c r="AH70" s="64"/>
      <c r="AI70" s="64"/>
      <c r="AJ70" s="64"/>
      <c r="AK70" s="64"/>
      <c r="AL70" s="64"/>
      <c r="AM70" s="64"/>
      <c r="AN70" s="64"/>
      <c r="AO70" s="64"/>
      <c r="AP70" s="64"/>
      <c r="AQ70" s="64"/>
      <c r="AR70" s="96"/>
      <c r="AS70" s="64"/>
      <c r="AT70" s="64"/>
      <c r="AU70" s="64"/>
      <c r="AV70" s="64"/>
      <c r="AW70" s="64"/>
      <c r="AX70" s="71"/>
      <c r="AY70" s="71"/>
      <c r="AZ70" s="71"/>
      <c r="BA70" s="71"/>
      <c r="BB70" s="71"/>
      <c r="BC70" s="78"/>
      <c r="BD70" s="71"/>
      <c r="BE70" s="71"/>
      <c r="BF70" s="71"/>
      <c r="BG70" s="81"/>
      <c r="BH70" s="71"/>
      <c r="BI70" s="71"/>
      <c r="BJ70" s="78"/>
      <c r="BK70" s="1117"/>
      <c r="BL70" s="1117"/>
      <c r="BM70" s="1117"/>
      <c r="BN70" s="1119"/>
      <c r="BO70" s="1119"/>
      <c r="BP70" s="1119"/>
      <c r="BQ70" s="1119"/>
      <c r="BR70" s="1119"/>
      <c r="BS70" s="1119"/>
      <c r="BT70" s="1119"/>
      <c r="BU70" s="1119"/>
      <c r="BV70" s="1119"/>
      <c r="BW70" s="1117"/>
      <c r="BX70" s="1119"/>
      <c r="BY70" s="1119"/>
      <c r="BZ70" s="1119"/>
      <c r="CA70" s="1119"/>
      <c r="CB70" s="1119"/>
      <c r="CC70" s="1119"/>
      <c r="CD70" s="1119"/>
      <c r="CE70" s="1119"/>
      <c r="CF70" s="1119"/>
      <c r="CG70" s="1119"/>
      <c r="CH70" s="1119"/>
      <c r="CI70" s="1119"/>
      <c r="CJ70" s="1119"/>
      <c r="CK70" s="1117"/>
      <c r="CL70" s="1117"/>
      <c r="CM70" s="1117"/>
      <c r="CN70" s="1117"/>
      <c r="CO70" s="1117"/>
      <c r="CP70" s="1117"/>
      <c r="CQ70" s="1117"/>
      <c r="CR70" s="1117"/>
      <c r="CS70" s="1117"/>
      <c r="CT70" s="1117"/>
      <c r="CU70" s="1117"/>
      <c r="CV70" s="1117"/>
      <c r="CW70" s="78"/>
      <c r="CX70" s="1117"/>
      <c r="CY70" s="1117"/>
      <c r="CZ70" s="1119"/>
      <c r="DA70" s="75" t="s">
        <v>51</v>
      </c>
      <c r="DB70" s="1119"/>
      <c r="DC70" s="78"/>
      <c r="DD70" s="1166"/>
      <c r="DE70" s="1167"/>
      <c r="DF70" s="1117"/>
      <c r="DG70" s="1117"/>
      <c r="DH70" s="1119"/>
      <c r="DI70" s="1117"/>
      <c r="DJ70" s="1117"/>
      <c r="DK70" s="1117"/>
      <c r="DL70" s="1117"/>
      <c r="DM70" s="1117"/>
      <c r="DN70" s="1117"/>
      <c r="DO70" s="1117"/>
      <c r="DP70" s="1119"/>
      <c r="DQ70" s="1119"/>
      <c r="DR70" s="1119"/>
      <c r="DS70" s="1125"/>
      <c r="DT70" s="1118"/>
      <c r="DU70" s="1118"/>
    </row>
    <row r="71" spans="2:125" s="82" customFormat="1" ht="4.5" customHeight="1">
      <c r="B71" s="64"/>
      <c r="C71" s="125"/>
      <c r="D71" s="103"/>
      <c r="E71" s="71"/>
      <c r="F71" s="71"/>
      <c r="G71" s="71"/>
      <c r="H71" s="71"/>
      <c r="I71" s="110"/>
      <c r="J71" s="71"/>
      <c r="K71" s="71"/>
      <c r="L71" s="71"/>
      <c r="M71" s="71"/>
      <c r="N71" s="71"/>
      <c r="O71" s="71"/>
      <c r="P71" s="64"/>
      <c r="Q71" s="64"/>
      <c r="R71" s="64"/>
      <c r="S71" s="64"/>
      <c r="T71" s="64"/>
      <c r="U71" s="64"/>
      <c r="V71" s="25"/>
      <c r="W71" s="25"/>
      <c r="X71" s="25"/>
      <c r="Y71" s="25"/>
      <c r="Z71" s="25"/>
      <c r="AA71" s="25"/>
      <c r="AB71" s="25"/>
      <c r="AC71" s="25"/>
      <c r="AD71" s="25"/>
      <c r="AE71" s="25"/>
      <c r="AF71" s="25"/>
      <c r="AG71" s="64"/>
      <c r="AH71" s="64"/>
      <c r="AI71" s="64"/>
      <c r="AJ71" s="64"/>
      <c r="AK71" s="64"/>
      <c r="AL71" s="64"/>
      <c r="AM71" s="64"/>
      <c r="AN71" s="64"/>
      <c r="AO71" s="64"/>
      <c r="AP71" s="64"/>
      <c r="AQ71" s="64"/>
      <c r="AR71" s="96"/>
      <c r="AS71" s="64"/>
      <c r="AT71" s="64"/>
      <c r="AU71" s="64"/>
      <c r="AV71" s="64"/>
      <c r="AW71" s="64"/>
      <c r="AX71" s="71"/>
      <c r="AY71" s="71"/>
      <c r="AZ71" s="71"/>
      <c r="BA71" s="71"/>
      <c r="BB71" s="71"/>
      <c r="BC71" s="71"/>
      <c r="BD71" s="71"/>
      <c r="BE71" s="71"/>
      <c r="BF71" s="71"/>
      <c r="BG71" s="81"/>
      <c r="BH71" s="71"/>
      <c r="BI71" s="71"/>
      <c r="BJ71" s="71"/>
      <c r="BK71" s="1117"/>
      <c r="BL71" s="1117"/>
      <c r="BM71" s="1117"/>
      <c r="BN71" s="1117"/>
      <c r="BO71" s="1117"/>
      <c r="BP71" s="1117"/>
      <c r="BQ71" s="1117"/>
      <c r="BR71" s="1117"/>
      <c r="BS71" s="1117"/>
      <c r="BT71" s="1117"/>
      <c r="BU71" s="1117"/>
      <c r="BV71" s="1117"/>
      <c r="BW71" s="1117"/>
      <c r="BX71" s="1117"/>
      <c r="BY71" s="1117"/>
      <c r="BZ71" s="1117"/>
      <c r="CA71" s="1117"/>
      <c r="CB71" s="1117"/>
      <c r="CC71" s="1117"/>
      <c r="CD71" s="1117"/>
      <c r="CE71" s="1124"/>
      <c r="CF71" s="1117"/>
      <c r="CG71" s="1117"/>
      <c r="CH71" s="1117"/>
      <c r="CI71" s="1117"/>
      <c r="CJ71" s="1117"/>
      <c r="CK71" s="1117"/>
      <c r="CL71" s="1117"/>
      <c r="CM71" s="1117"/>
      <c r="CN71" s="1117"/>
      <c r="CO71" s="1117"/>
      <c r="CP71" s="1117"/>
      <c r="CQ71" s="1124"/>
      <c r="CR71" s="1117"/>
      <c r="CS71" s="1117"/>
      <c r="CT71" s="1117"/>
      <c r="CU71" s="1117"/>
      <c r="CV71" s="1117"/>
      <c r="CW71" s="1117"/>
      <c r="CX71" s="1117"/>
      <c r="CY71" s="1117"/>
      <c r="CZ71" s="1117"/>
      <c r="DA71" s="1117"/>
      <c r="DB71" s="1117"/>
      <c r="DC71" s="1124"/>
      <c r="DD71" s="1117"/>
      <c r="DE71" s="1117"/>
      <c r="DF71" s="1117"/>
      <c r="DG71" s="1117"/>
      <c r="DH71" s="1117"/>
      <c r="DI71" s="1117"/>
      <c r="DJ71" s="1117"/>
      <c r="DK71" s="1117"/>
      <c r="DL71" s="1117"/>
      <c r="DM71" s="1117"/>
      <c r="DN71" s="1117"/>
      <c r="DO71" s="1117"/>
      <c r="DP71" s="1117"/>
      <c r="DQ71" s="1117"/>
      <c r="DR71" s="1117"/>
      <c r="DS71" s="1126"/>
      <c r="DT71" s="1127"/>
      <c r="DU71" s="1127"/>
    </row>
    <row r="72" spans="2:125" s="72" customFormat="1" ht="11.25" customHeight="1">
      <c r="B72" s="97"/>
      <c r="C72" s="1102"/>
      <c r="D72" s="103"/>
      <c r="E72" s="78"/>
      <c r="F72" s="78"/>
      <c r="G72" s="78"/>
      <c r="H72" s="78"/>
      <c r="I72" s="132" t="s">
        <v>52</v>
      </c>
      <c r="J72" s="126"/>
      <c r="K72" s="126"/>
      <c r="L72" s="133"/>
      <c r="M72" s="133"/>
      <c r="N72" s="133"/>
      <c r="O72" s="133"/>
      <c r="P72" s="105"/>
      <c r="Q72" s="105"/>
      <c r="R72" s="107"/>
      <c r="S72" s="64"/>
      <c r="T72" s="64"/>
      <c r="U72" s="64"/>
      <c r="V72" s="25"/>
      <c r="W72" s="25"/>
      <c r="X72" s="25"/>
      <c r="Y72" s="25"/>
      <c r="Z72" s="25"/>
      <c r="AA72" s="25"/>
      <c r="AB72" s="25"/>
      <c r="AC72" s="25"/>
      <c r="AD72" s="25"/>
      <c r="AE72" s="25"/>
      <c r="AF72" s="25"/>
      <c r="AG72" s="64"/>
      <c r="AH72" s="64"/>
      <c r="AI72" s="64"/>
      <c r="AJ72" s="64"/>
      <c r="AK72" s="64"/>
      <c r="AL72" s="64"/>
      <c r="AM72" s="64"/>
      <c r="AN72" s="64"/>
      <c r="AO72" s="64"/>
      <c r="AP72" s="64"/>
      <c r="AQ72" s="64"/>
      <c r="AR72" s="96"/>
      <c r="AS72" s="64"/>
      <c r="AT72" s="64"/>
      <c r="AU72" s="64"/>
      <c r="AV72" s="64"/>
      <c r="AW72" s="64"/>
      <c r="AX72" s="71"/>
      <c r="AY72" s="71"/>
      <c r="AZ72" s="71"/>
      <c r="BA72" s="71"/>
      <c r="BB72" s="71"/>
      <c r="BC72" s="78"/>
      <c r="BD72" s="71"/>
      <c r="BE72" s="71"/>
      <c r="BF72" s="71"/>
      <c r="BG72" s="81"/>
      <c r="BH72" s="71"/>
      <c r="BI72" s="71"/>
      <c r="BJ72" s="78"/>
      <c r="BK72" s="1119"/>
      <c r="BL72" s="1117"/>
      <c r="BM72" s="1117"/>
      <c r="BN72" s="1119"/>
      <c r="BO72" s="1119"/>
      <c r="BP72" s="1119"/>
      <c r="BQ72" s="1119"/>
      <c r="BR72" s="1119"/>
      <c r="BS72" s="1119"/>
      <c r="BT72" s="1119"/>
      <c r="BU72" s="1119"/>
      <c r="BV72" s="1119"/>
      <c r="BW72" s="1119"/>
      <c r="BX72" s="1119"/>
      <c r="BY72" s="1119"/>
      <c r="BZ72" s="1119"/>
      <c r="CA72" s="1119"/>
      <c r="CB72" s="1119"/>
      <c r="CC72" s="1119"/>
      <c r="CD72" s="1117"/>
      <c r="CE72" s="1131"/>
      <c r="CF72" s="1119"/>
      <c r="CG72" s="1132"/>
      <c r="CH72" s="1119"/>
      <c r="CI72" s="1119"/>
      <c r="CJ72" s="1119"/>
      <c r="CK72" s="1117"/>
      <c r="CL72" s="1117"/>
      <c r="CM72" s="1117"/>
      <c r="CN72" s="1117"/>
      <c r="CO72" s="1117"/>
      <c r="CP72" s="1117"/>
      <c r="CQ72" s="1124"/>
      <c r="CR72" s="1119"/>
      <c r="CS72" s="1132"/>
      <c r="CT72" s="1117"/>
      <c r="CU72" s="1117"/>
      <c r="CV72" s="1117"/>
      <c r="CW72" s="1117"/>
      <c r="CX72" s="1117"/>
      <c r="CY72" s="1117"/>
      <c r="CZ72" s="1117"/>
      <c r="DA72" s="1117"/>
      <c r="DB72" s="78"/>
      <c r="DC72" s="78"/>
      <c r="DD72" s="78"/>
      <c r="DE72" s="75" t="s">
        <v>53</v>
      </c>
      <c r="DF72" s="1120"/>
      <c r="DG72" s="1133"/>
      <c r="DH72" s="1117"/>
      <c r="DI72" s="1117"/>
      <c r="DJ72" s="1117"/>
      <c r="DK72" s="1117"/>
      <c r="DL72" s="1117"/>
      <c r="DM72" s="1117"/>
      <c r="DN72" s="1117"/>
      <c r="DO72" s="1117"/>
      <c r="DP72" s="1119"/>
      <c r="DQ72" s="1119"/>
      <c r="DR72" s="1119"/>
      <c r="DS72" s="1125"/>
      <c r="DT72" s="1118"/>
      <c r="DU72" s="1118"/>
    </row>
    <row r="73" spans="2:125" s="82" customFormat="1" ht="3.75" customHeight="1">
      <c r="B73" s="64"/>
      <c r="C73" s="125"/>
      <c r="D73" s="103"/>
      <c r="E73" s="71"/>
      <c r="F73" s="71"/>
      <c r="G73" s="71"/>
      <c r="H73" s="71"/>
      <c r="I73" s="110"/>
      <c r="J73" s="71"/>
      <c r="K73" s="71"/>
      <c r="L73" s="64"/>
      <c r="M73" s="64"/>
      <c r="N73" s="64"/>
      <c r="O73" s="64"/>
      <c r="P73" s="64"/>
      <c r="Q73" s="64"/>
      <c r="R73" s="64"/>
      <c r="S73" s="64"/>
      <c r="T73" s="96"/>
      <c r="U73" s="64"/>
      <c r="V73" s="25"/>
      <c r="W73" s="25"/>
      <c r="X73" s="25"/>
      <c r="Y73" s="25"/>
      <c r="Z73" s="25"/>
      <c r="AA73" s="25"/>
      <c r="AB73" s="25"/>
      <c r="AC73" s="25"/>
      <c r="AD73" s="25"/>
      <c r="AE73" s="25"/>
      <c r="AF73" s="25"/>
      <c r="AG73" s="64"/>
      <c r="AH73" s="64"/>
      <c r="AI73" s="64"/>
      <c r="AJ73" s="64"/>
      <c r="AK73" s="64"/>
      <c r="AL73" s="64"/>
      <c r="AM73" s="64"/>
      <c r="AN73" s="1168"/>
      <c r="AO73" s="64"/>
      <c r="AP73" s="64"/>
      <c r="AQ73" s="64"/>
      <c r="AR73" s="96"/>
      <c r="AS73" s="64"/>
      <c r="AT73" s="64"/>
      <c r="AU73" s="64"/>
      <c r="AV73" s="64"/>
      <c r="AW73" s="64"/>
      <c r="AX73" s="71"/>
      <c r="AY73" s="71"/>
      <c r="AZ73" s="71"/>
      <c r="BA73" s="71"/>
      <c r="BB73" s="71"/>
      <c r="BC73" s="76"/>
      <c r="BD73" s="71"/>
      <c r="BE73" s="71"/>
      <c r="BF73" s="71"/>
      <c r="BG73" s="81"/>
      <c r="BH73" s="71"/>
      <c r="BI73" s="71"/>
      <c r="BJ73" s="71"/>
      <c r="BK73" s="1117"/>
      <c r="BL73" s="1117"/>
      <c r="BM73" s="1117"/>
      <c r="BN73" s="1117"/>
      <c r="BO73" s="1117"/>
      <c r="BP73" s="1117"/>
      <c r="BQ73" s="1117"/>
      <c r="BR73" s="1117"/>
      <c r="BS73" s="1124"/>
      <c r="BT73" s="1117"/>
      <c r="BU73" s="1117"/>
      <c r="BV73" s="1117"/>
      <c r="BW73" s="1117"/>
      <c r="BX73" s="1117"/>
      <c r="BY73" s="1117"/>
      <c r="BZ73" s="1117"/>
      <c r="CA73" s="1117"/>
      <c r="CB73" s="1117"/>
      <c r="CC73" s="1117"/>
      <c r="CD73" s="1117"/>
      <c r="CE73" s="1124"/>
      <c r="CF73" s="1117"/>
      <c r="CG73" s="1117"/>
      <c r="CH73" s="1117"/>
      <c r="CI73" s="1117"/>
      <c r="CJ73" s="1117"/>
      <c r="CK73" s="1117"/>
      <c r="CL73" s="1117"/>
      <c r="CM73" s="1117"/>
      <c r="CN73" s="1117"/>
      <c r="CO73" s="1117"/>
      <c r="CP73" s="1117"/>
      <c r="CQ73" s="1124"/>
      <c r="CR73" s="1117"/>
      <c r="CS73" s="1117"/>
      <c r="CT73" s="1117"/>
      <c r="CU73" s="1117"/>
      <c r="CV73" s="1117"/>
      <c r="CW73" s="1117"/>
      <c r="CX73" s="1117"/>
      <c r="CY73" s="1117"/>
      <c r="CZ73" s="1117"/>
      <c r="DA73" s="1117"/>
      <c r="DB73" s="1117"/>
      <c r="DC73" s="1124"/>
      <c r="DD73" s="1117"/>
      <c r="DE73" s="1117"/>
      <c r="DF73" s="1117"/>
      <c r="DG73" s="1117"/>
      <c r="DH73" s="1117"/>
      <c r="DI73" s="1117"/>
      <c r="DJ73" s="1117"/>
      <c r="DK73" s="1117"/>
      <c r="DL73" s="1117"/>
      <c r="DM73" s="1117"/>
      <c r="DN73" s="1117"/>
      <c r="DO73" s="1117"/>
      <c r="DP73" s="1117"/>
      <c r="DQ73" s="1117"/>
      <c r="DR73" s="1117"/>
      <c r="DS73" s="1126"/>
      <c r="DT73" s="1127"/>
      <c r="DU73" s="1127"/>
    </row>
    <row r="74" spans="2:125" s="72" customFormat="1" ht="11.25" customHeight="1">
      <c r="B74" s="97"/>
      <c r="C74" s="1102"/>
      <c r="D74" s="103"/>
      <c r="E74" s="71"/>
      <c r="F74" s="71"/>
      <c r="G74" s="71"/>
      <c r="H74" s="71"/>
      <c r="I74" s="110"/>
      <c r="J74" s="71"/>
      <c r="K74" s="71"/>
      <c r="L74" s="64"/>
      <c r="M74" s="64"/>
      <c r="N74" s="64"/>
      <c r="O74" s="64" t="s">
        <v>724</v>
      </c>
      <c r="P74" s="64"/>
      <c r="Q74" s="64"/>
      <c r="R74" s="64"/>
      <c r="S74" s="64"/>
      <c r="T74" s="96"/>
      <c r="U74" s="64"/>
      <c r="V74" s="25"/>
      <c r="W74" s="25"/>
      <c r="X74" s="25"/>
      <c r="Y74" s="25"/>
      <c r="Z74" s="25"/>
      <c r="AA74" s="25"/>
      <c r="AB74" s="25"/>
      <c r="AC74" s="25"/>
      <c r="AD74" s="25"/>
      <c r="AE74" s="25"/>
      <c r="AF74" s="25"/>
      <c r="AG74" s="97"/>
      <c r="AH74" s="97"/>
      <c r="AI74" s="97"/>
      <c r="AJ74" s="97"/>
      <c r="AK74" s="97"/>
      <c r="AL74" s="97"/>
      <c r="AM74" s="97"/>
      <c r="AN74" s="97"/>
      <c r="AO74" s="97"/>
      <c r="AP74" s="97"/>
      <c r="AQ74" s="97"/>
      <c r="AR74" s="79"/>
      <c r="AS74" s="78"/>
      <c r="AT74" s="78"/>
      <c r="AU74" s="78"/>
      <c r="AV74" s="78"/>
      <c r="AW74" s="78"/>
      <c r="AX74" s="78"/>
      <c r="AY74" s="78"/>
      <c r="AZ74" s="78"/>
      <c r="BA74" s="78"/>
      <c r="BB74" s="78"/>
      <c r="BC74" s="78"/>
      <c r="BD74" s="78"/>
      <c r="BE74" s="78"/>
      <c r="BF74" s="78"/>
      <c r="BG74" s="79"/>
      <c r="BH74" s="71"/>
      <c r="BI74" s="71"/>
      <c r="BJ74" s="71"/>
      <c r="BK74" s="1117"/>
      <c r="BL74" s="1117"/>
      <c r="BM74" s="1117"/>
      <c r="BN74" s="1117"/>
      <c r="BO74" s="1117"/>
      <c r="BP74" s="1117"/>
      <c r="BQ74" s="1117"/>
      <c r="BR74" s="1119"/>
      <c r="BS74" s="1117"/>
      <c r="BT74" s="1119"/>
      <c r="BU74" s="1119"/>
      <c r="BV74" s="1119"/>
      <c r="BW74" s="1119"/>
      <c r="BX74" s="1119"/>
      <c r="BY74" s="1119"/>
      <c r="BZ74" s="1119"/>
      <c r="CA74" s="1119"/>
      <c r="CB74" s="1119"/>
      <c r="CC74" s="1119"/>
      <c r="CD74" s="1119"/>
      <c r="CE74" s="1132"/>
      <c r="CF74" s="78"/>
      <c r="CG74" s="78"/>
      <c r="CH74" s="78"/>
      <c r="CI74" s="1117"/>
      <c r="CJ74" s="1117"/>
      <c r="CK74" s="1117"/>
      <c r="CL74" s="1117"/>
      <c r="CM74" s="1117"/>
      <c r="CN74" s="1117"/>
      <c r="CO74" s="1117"/>
      <c r="CP74" s="1117"/>
      <c r="CQ74" s="1117"/>
      <c r="CR74" s="1117"/>
      <c r="CS74" s="1117"/>
      <c r="CT74" s="1117"/>
      <c r="CU74" s="1117"/>
      <c r="CV74" s="1117"/>
      <c r="CW74" s="1117"/>
      <c r="CX74" s="1117"/>
      <c r="CY74" s="1117"/>
      <c r="CZ74" s="1117"/>
      <c r="DA74" s="1117"/>
      <c r="DB74" s="1117"/>
      <c r="DC74" s="1124"/>
      <c r="DD74" s="1117"/>
      <c r="DE74" s="1117"/>
      <c r="DF74" s="1117"/>
      <c r="DG74" s="1117"/>
      <c r="DH74" s="1117"/>
      <c r="DI74" s="1117"/>
      <c r="DJ74" s="1117"/>
      <c r="DK74" s="1117"/>
      <c r="DL74" s="78"/>
      <c r="DM74" s="1117"/>
      <c r="DN74" s="1117"/>
      <c r="DO74" s="1117"/>
      <c r="DP74" s="78"/>
      <c r="DQ74" s="1132" t="s">
        <v>732</v>
      </c>
      <c r="DR74" s="1119"/>
      <c r="DS74" s="1125"/>
      <c r="DT74" s="1118"/>
      <c r="DU74" s="1118"/>
    </row>
    <row r="75" spans="2:123" s="82" customFormat="1" ht="3.75" customHeight="1">
      <c r="B75" s="64"/>
      <c r="C75" s="125"/>
      <c r="D75" s="103"/>
      <c r="E75" s="71"/>
      <c r="F75" s="71"/>
      <c r="G75" s="71"/>
      <c r="H75" s="71"/>
      <c r="I75" s="110"/>
      <c r="J75" s="71"/>
      <c r="K75" s="71"/>
      <c r="L75" s="64"/>
      <c r="M75" s="64"/>
      <c r="N75" s="64"/>
      <c r="O75" s="64"/>
      <c r="P75" s="64"/>
      <c r="Q75" s="64"/>
      <c r="R75" s="64"/>
      <c r="S75" s="64"/>
      <c r="T75" s="96"/>
      <c r="U75" s="64"/>
      <c r="V75" s="64"/>
      <c r="W75" s="64"/>
      <c r="X75" s="118"/>
      <c r="Y75" s="118"/>
      <c r="Z75" s="118"/>
      <c r="AA75" s="118"/>
      <c r="AB75" s="64"/>
      <c r="AC75" s="64"/>
      <c r="AD75" s="64"/>
      <c r="AE75" s="64"/>
      <c r="AF75" s="96"/>
      <c r="AG75" s="64"/>
      <c r="AH75" s="64"/>
      <c r="AI75" s="64"/>
      <c r="AJ75" s="64"/>
      <c r="AK75" s="64"/>
      <c r="AL75" s="64"/>
      <c r="AM75" s="64"/>
      <c r="AN75" s="64"/>
      <c r="AO75" s="64"/>
      <c r="AP75" s="64"/>
      <c r="AQ75" s="64"/>
      <c r="AR75" s="96"/>
      <c r="AS75" s="64"/>
      <c r="AT75" s="64"/>
      <c r="AU75" s="64"/>
      <c r="AV75" s="64"/>
      <c r="AW75" s="64"/>
      <c r="AX75" s="71"/>
      <c r="AY75" s="71"/>
      <c r="AZ75" s="71"/>
      <c r="BA75" s="71"/>
      <c r="BB75" s="71"/>
      <c r="BC75" s="71"/>
      <c r="BD75" s="71"/>
      <c r="BE75" s="76"/>
      <c r="BF75" s="76"/>
      <c r="BG75" s="81"/>
      <c r="BH75" s="71"/>
      <c r="BI75" s="71"/>
      <c r="BJ75" s="71"/>
      <c r="BK75" s="71"/>
      <c r="BL75" s="71"/>
      <c r="BM75" s="71"/>
      <c r="BN75" s="71"/>
      <c r="BO75" s="71"/>
      <c r="BP75" s="71"/>
      <c r="BQ75" s="71"/>
      <c r="BR75" s="71"/>
      <c r="BS75" s="81"/>
      <c r="BT75" s="71"/>
      <c r="BU75" s="71"/>
      <c r="BV75" s="71"/>
      <c r="BW75" s="71"/>
      <c r="BX75" s="71"/>
      <c r="BY75" s="71"/>
      <c r="BZ75" s="71"/>
      <c r="CA75" s="71"/>
      <c r="CB75" s="71"/>
      <c r="CC75" s="71"/>
      <c r="CD75" s="71"/>
      <c r="CE75" s="81"/>
      <c r="CF75" s="71"/>
      <c r="CG75" s="71"/>
      <c r="CH75" s="71"/>
      <c r="CI75" s="71"/>
      <c r="CJ75" s="71"/>
      <c r="CK75" s="71"/>
      <c r="CL75" s="71"/>
      <c r="CM75" s="71"/>
      <c r="CN75" s="71"/>
      <c r="CO75" s="71"/>
      <c r="CP75" s="71"/>
      <c r="CQ75" s="81"/>
      <c r="CR75" s="71"/>
      <c r="CS75" s="71"/>
      <c r="CT75" s="71"/>
      <c r="CU75" s="71"/>
      <c r="CV75" s="71"/>
      <c r="CW75" s="71"/>
      <c r="CX75" s="71"/>
      <c r="CY75" s="71"/>
      <c r="CZ75" s="71"/>
      <c r="DA75" s="71"/>
      <c r="DB75" s="71"/>
      <c r="DC75" s="81"/>
      <c r="DD75" s="71"/>
      <c r="DE75" s="71"/>
      <c r="DF75" s="71"/>
      <c r="DG75" s="71"/>
      <c r="DH75" s="71"/>
      <c r="DI75" s="71"/>
      <c r="DJ75" s="71"/>
      <c r="DK75" s="71"/>
      <c r="DL75" s="71"/>
      <c r="DM75" s="71"/>
      <c r="DN75" s="71"/>
      <c r="DO75" s="71"/>
      <c r="DP75" s="71"/>
      <c r="DQ75" s="71"/>
      <c r="DR75" s="71"/>
      <c r="DS75" s="80"/>
    </row>
    <row r="76" spans="2:123" s="72" customFormat="1" ht="3.75" customHeight="1" thickBot="1">
      <c r="B76" s="97"/>
      <c r="C76" s="1102"/>
      <c r="D76" s="134"/>
      <c r="E76" s="135"/>
      <c r="F76" s="135"/>
      <c r="G76" s="135"/>
      <c r="H76" s="135"/>
      <c r="I76" s="136"/>
      <c r="J76" s="137"/>
      <c r="K76" s="137"/>
      <c r="L76" s="137"/>
      <c r="M76" s="137"/>
      <c r="N76" s="137"/>
      <c r="O76" s="137"/>
      <c r="P76" s="137"/>
      <c r="Q76" s="137"/>
      <c r="R76" s="137"/>
      <c r="S76" s="137"/>
      <c r="T76" s="138"/>
      <c r="U76" s="137"/>
      <c r="V76" s="137"/>
      <c r="W76" s="137"/>
      <c r="X76" s="137"/>
      <c r="Y76" s="137"/>
      <c r="Z76" s="137"/>
      <c r="AA76" s="137"/>
      <c r="AB76" s="139"/>
      <c r="AC76" s="139"/>
      <c r="AD76" s="139"/>
      <c r="AE76" s="139"/>
      <c r="AF76" s="140"/>
      <c r="AG76" s="139"/>
      <c r="AH76" s="139"/>
      <c r="AI76" s="139"/>
      <c r="AJ76" s="139"/>
      <c r="AK76" s="139"/>
      <c r="AL76" s="139"/>
      <c r="AM76" s="139"/>
      <c r="AN76" s="139"/>
      <c r="AO76" s="139"/>
      <c r="AP76" s="139"/>
      <c r="AQ76" s="139"/>
      <c r="AR76" s="140"/>
      <c r="AS76" s="139"/>
      <c r="AT76" s="139"/>
      <c r="AU76" s="139"/>
      <c r="AV76" s="139"/>
      <c r="AW76" s="139"/>
      <c r="AX76" s="139"/>
      <c r="AY76" s="139"/>
      <c r="AZ76" s="139"/>
      <c r="BA76" s="139"/>
      <c r="BB76" s="139"/>
      <c r="BC76" s="139"/>
      <c r="BD76" s="139"/>
      <c r="BE76" s="139"/>
      <c r="BF76" s="139"/>
      <c r="BG76" s="140"/>
      <c r="BH76" s="139"/>
      <c r="BI76" s="139"/>
      <c r="BJ76" s="139"/>
      <c r="BK76" s="139"/>
      <c r="BL76" s="139"/>
      <c r="BM76" s="139"/>
      <c r="BN76" s="139"/>
      <c r="BO76" s="141"/>
      <c r="BP76" s="142"/>
      <c r="BQ76" s="142"/>
      <c r="BR76" s="142"/>
      <c r="BS76" s="143"/>
      <c r="BT76" s="142"/>
      <c r="BU76" s="142"/>
      <c r="BV76" s="142"/>
      <c r="BW76" s="142"/>
      <c r="BX76" s="142"/>
      <c r="BY76" s="142"/>
      <c r="BZ76" s="142"/>
      <c r="CA76" s="142"/>
      <c r="CB76" s="142"/>
      <c r="CC76" s="141"/>
      <c r="CD76" s="144"/>
      <c r="CE76" s="141"/>
      <c r="CF76" s="78"/>
      <c r="CG76" s="71"/>
      <c r="CH76" s="71"/>
      <c r="CI76" s="71"/>
      <c r="CJ76" s="71"/>
      <c r="CK76" s="71"/>
      <c r="CL76" s="71"/>
      <c r="CM76" s="71"/>
      <c r="CN76" s="71"/>
      <c r="CO76" s="71"/>
      <c r="CP76" s="71"/>
      <c r="CQ76" s="81"/>
      <c r="CR76" s="78"/>
      <c r="CS76" s="71"/>
      <c r="CT76" s="71"/>
      <c r="CU76" s="71"/>
      <c r="CV76" s="71"/>
      <c r="CW76" s="71"/>
      <c r="CX76" s="71"/>
      <c r="CY76" s="71"/>
      <c r="CZ76" s="71"/>
      <c r="DA76" s="71"/>
      <c r="DB76" s="71"/>
      <c r="DC76" s="81"/>
      <c r="DD76" s="78"/>
      <c r="DE76" s="71"/>
      <c r="DF76" s="71"/>
      <c r="DG76" s="71"/>
      <c r="DH76" s="71"/>
      <c r="DI76" s="71"/>
      <c r="DJ76" s="71"/>
      <c r="DK76" s="71"/>
      <c r="DL76" s="71"/>
      <c r="DM76" s="71"/>
      <c r="DN76" s="71"/>
      <c r="DO76" s="71"/>
      <c r="DP76" s="78"/>
      <c r="DQ76" s="78"/>
      <c r="DR76" s="78"/>
      <c r="DS76" s="1099"/>
    </row>
    <row r="77" spans="2:123" ht="15" thickBot="1">
      <c r="B77" s="25"/>
      <c r="C77" s="31"/>
      <c r="D77" s="33" t="s">
        <v>13</v>
      </c>
      <c r="E77" s="34"/>
      <c r="F77" s="34"/>
      <c r="G77" s="34"/>
      <c r="H77" s="34"/>
      <c r="I77" s="1177" t="s">
        <v>77</v>
      </c>
      <c r="J77" s="1178"/>
      <c r="K77" s="1178"/>
      <c r="L77" s="1178"/>
      <c r="M77" s="1178"/>
      <c r="N77" s="1178"/>
      <c r="O77" s="1178"/>
      <c r="P77" s="1178"/>
      <c r="Q77" s="1178"/>
      <c r="R77" s="1178"/>
      <c r="S77" s="1178"/>
      <c r="T77" s="1179"/>
      <c r="U77" s="1180" t="s">
        <v>78</v>
      </c>
      <c r="V77" s="1178"/>
      <c r="W77" s="1178"/>
      <c r="X77" s="1178"/>
      <c r="Y77" s="1178"/>
      <c r="Z77" s="1178"/>
      <c r="AA77" s="1178"/>
      <c r="AB77" s="1159"/>
      <c r="AC77" s="1159"/>
      <c r="AD77" s="1159"/>
      <c r="AE77" s="1159"/>
      <c r="AF77" s="1181"/>
      <c r="AG77" s="1182" t="s">
        <v>79</v>
      </c>
      <c r="AH77" s="1159"/>
      <c r="AI77" s="1159"/>
      <c r="AJ77" s="1159"/>
      <c r="AK77" s="1159"/>
      <c r="AL77" s="1159"/>
      <c r="AM77" s="1159"/>
      <c r="AN77" s="1159"/>
      <c r="AO77" s="1159"/>
      <c r="AP77" s="1159"/>
      <c r="AQ77" s="1159"/>
      <c r="AR77" s="1181"/>
      <c r="AS77" s="1182" t="s">
        <v>80</v>
      </c>
      <c r="AT77" s="1159"/>
      <c r="AU77" s="1159"/>
      <c r="AV77" s="1159"/>
      <c r="AW77" s="1159"/>
      <c r="AX77" s="1159"/>
      <c r="AY77" s="1159"/>
      <c r="AZ77" s="1159"/>
      <c r="BA77" s="1159"/>
      <c r="BB77" s="1159"/>
      <c r="BC77" s="1159"/>
      <c r="BD77" s="1159"/>
      <c r="BE77" s="1159"/>
      <c r="BF77" s="1159"/>
      <c r="BG77" s="1159"/>
      <c r="BH77" s="1158" t="s">
        <v>81</v>
      </c>
      <c r="BI77" s="1159"/>
      <c r="BJ77" s="1159"/>
      <c r="BK77" s="1159"/>
      <c r="BL77" s="1159"/>
      <c r="BM77" s="1159"/>
      <c r="BN77" s="1159"/>
      <c r="BO77" s="1159"/>
      <c r="BP77" s="1159"/>
      <c r="BQ77" s="1159"/>
      <c r="BR77" s="1159"/>
      <c r="BS77" s="1160"/>
      <c r="BT77" s="1159" t="s">
        <v>82</v>
      </c>
      <c r="BU77" s="1159"/>
      <c r="BV77" s="1159"/>
      <c r="BW77" s="1159"/>
      <c r="BX77" s="1159"/>
      <c r="BY77" s="1159"/>
      <c r="BZ77" s="1159"/>
      <c r="CA77" s="1159"/>
      <c r="CB77" s="1159"/>
      <c r="CC77" s="1159"/>
      <c r="CD77" s="1159"/>
      <c r="CE77" s="1159"/>
      <c r="CF77" s="1158" t="s">
        <v>83</v>
      </c>
      <c r="CG77" s="1159"/>
      <c r="CH77" s="1159"/>
      <c r="CI77" s="1159"/>
      <c r="CJ77" s="1159"/>
      <c r="CK77" s="1159"/>
      <c r="CL77" s="1159"/>
      <c r="CM77" s="1159"/>
      <c r="CN77" s="1159"/>
      <c r="CO77" s="1159"/>
      <c r="CP77" s="1159"/>
      <c r="CQ77" s="1160" t="s">
        <v>207</v>
      </c>
      <c r="CR77" s="1158" t="s">
        <v>719</v>
      </c>
      <c r="CS77" s="1159"/>
      <c r="CT77" s="1159"/>
      <c r="CU77" s="1159"/>
      <c r="CV77" s="1159"/>
      <c r="CW77" s="1159"/>
      <c r="CX77" s="1159"/>
      <c r="CY77" s="1159"/>
      <c r="CZ77" s="1159"/>
      <c r="DA77" s="1159"/>
      <c r="DB77" s="1159"/>
      <c r="DC77" s="1160" t="s">
        <v>207</v>
      </c>
      <c r="DD77" s="1158" t="s">
        <v>720</v>
      </c>
      <c r="DE77" s="1159"/>
      <c r="DF77" s="1159"/>
      <c r="DG77" s="1159"/>
      <c r="DH77" s="1159"/>
      <c r="DI77" s="1159"/>
      <c r="DJ77" s="1159"/>
      <c r="DK77" s="1159"/>
      <c r="DL77" s="1159"/>
      <c r="DM77" s="1159"/>
      <c r="DN77" s="1159"/>
      <c r="DO77" s="1160" t="s">
        <v>207</v>
      </c>
      <c r="DP77" s="1165" t="s">
        <v>731</v>
      </c>
      <c r="DQ77" s="1161"/>
      <c r="DR77" s="1161"/>
      <c r="DS77" s="1162"/>
    </row>
    <row r="78" spans="2:123" s="35" customFormat="1" ht="12" thickBot="1">
      <c r="B78" s="36"/>
      <c r="C78" s="1105"/>
      <c r="D78" s="1106" t="s">
        <v>14</v>
      </c>
      <c r="E78" s="1106" t="s">
        <v>15</v>
      </c>
      <c r="F78" s="1106" t="s">
        <v>15</v>
      </c>
      <c r="G78" s="1106" t="s">
        <v>16</v>
      </c>
      <c r="H78" s="1107" t="s">
        <v>17</v>
      </c>
      <c r="I78" s="1170" t="s">
        <v>18</v>
      </c>
      <c r="J78" s="1171" t="s">
        <v>19</v>
      </c>
      <c r="K78" s="1171" t="s">
        <v>20</v>
      </c>
      <c r="L78" s="1171" t="s">
        <v>15</v>
      </c>
      <c r="M78" s="1171" t="s">
        <v>21</v>
      </c>
      <c r="N78" s="1171" t="s">
        <v>14</v>
      </c>
      <c r="O78" s="1171" t="s">
        <v>16</v>
      </c>
      <c r="P78" s="1171" t="s">
        <v>14</v>
      </c>
      <c r="Q78" s="1171" t="s">
        <v>15</v>
      </c>
      <c r="R78" s="1171" t="s">
        <v>15</v>
      </c>
      <c r="S78" s="1171" t="s">
        <v>16</v>
      </c>
      <c r="T78" s="1171" t="s">
        <v>17</v>
      </c>
      <c r="U78" s="1171" t="s">
        <v>18</v>
      </c>
      <c r="V78" s="1171" t="s">
        <v>19</v>
      </c>
      <c r="W78" s="1172" t="s">
        <v>20</v>
      </c>
      <c r="X78" s="1173" t="s">
        <v>15</v>
      </c>
      <c r="Y78" s="1173" t="s">
        <v>21</v>
      </c>
      <c r="Z78" s="1173" t="s">
        <v>14</v>
      </c>
      <c r="AA78" s="1173" t="s">
        <v>16</v>
      </c>
      <c r="AB78" s="1110" t="s">
        <v>14</v>
      </c>
      <c r="AC78" s="1108" t="s">
        <v>15</v>
      </c>
      <c r="AD78" s="1108" t="s">
        <v>15</v>
      </c>
      <c r="AE78" s="1108" t="s">
        <v>16</v>
      </c>
      <c r="AF78" s="1108" t="s">
        <v>17</v>
      </c>
      <c r="AG78" s="1108" t="s">
        <v>18</v>
      </c>
      <c r="AH78" s="1108" t="s">
        <v>19</v>
      </c>
      <c r="AI78" s="1108" t="s">
        <v>20</v>
      </c>
      <c r="AJ78" s="1108" t="s">
        <v>15</v>
      </c>
      <c r="AK78" s="1108" t="s">
        <v>21</v>
      </c>
      <c r="AL78" s="1108" t="s">
        <v>14</v>
      </c>
      <c r="AM78" s="1108" t="s">
        <v>16</v>
      </c>
      <c r="AN78" s="1108" t="s">
        <v>14</v>
      </c>
      <c r="AO78" s="1108" t="s">
        <v>15</v>
      </c>
      <c r="AP78" s="1108" t="s">
        <v>15</v>
      </c>
      <c r="AQ78" s="1108" t="s">
        <v>16</v>
      </c>
      <c r="AR78" s="1108" t="s">
        <v>17</v>
      </c>
      <c r="AS78" s="1109" t="s">
        <v>18</v>
      </c>
      <c r="AT78" s="1174" t="s">
        <v>19</v>
      </c>
      <c r="AU78" s="1175"/>
      <c r="AV78" s="1110" t="s">
        <v>20</v>
      </c>
      <c r="AW78" s="1108" t="s">
        <v>15</v>
      </c>
      <c r="AX78" s="1108" t="s">
        <v>21</v>
      </c>
      <c r="AY78" s="1108" t="s">
        <v>14</v>
      </c>
      <c r="AZ78" s="1108" t="s">
        <v>16</v>
      </c>
      <c r="BA78" s="1108" t="s">
        <v>14</v>
      </c>
      <c r="BB78" s="1176" t="s">
        <v>15</v>
      </c>
      <c r="BC78" s="1176"/>
      <c r="BD78" s="1108" t="s">
        <v>15</v>
      </c>
      <c r="BE78" s="1108" t="s">
        <v>16</v>
      </c>
      <c r="BF78" s="1108" t="s">
        <v>17</v>
      </c>
      <c r="BG78" s="1108"/>
      <c r="BH78" s="1108" t="s">
        <v>18</v>
      </c>
      <c r="BI78" s="1108" t="s">
        <v>19</v>
      </c>
      <c r="BJ78" s="1108" t="s">
        <v>20</v>
      </c>
      <c r="BK78" s="1108" t="s">
        <v>15</v>
      </c>
      <c r="BL78" s="1108" t="s">
        <v>21</v>
      </c>
      <c r="BM78" s="1108" t="s">
        <v>14</v>
      </c>
      <c r="BN78" s="1108" t="s">
        <v>16</v>
      </c>
      <c r="BO78" s="1108" t="s">
        <v>14</v>
      </c>
      <c r="BP78" s="1108" t="s">
        <v>15</v>
      </c>
      <c r="BQ78" s="1108" t="s">
        <v>15</v>
      </c>
      <c r="BR78" s="1108" t="s">
        <v>16</v>
      </c>
      <c r="BS78" s="1108" t="s">
        <v>17</v>
      </c>
      <c r="BT78" s="1108" t="s">
        <v>18</v>
      </c>
      <c r="BU78" s="1108" t="s">
        <v>19</v>
      </c>
      <c r="BV78" s="1108" t="s">
        <v>20</v>
      </c>
      <c r="BW78" s="1108" t="s">
        <v>15</v>
      </c>
      <c r="BX78" s="1108" t="s">
        <v>21</v>
      </c>
      <c r="BY78" s="1108" t="s">
        <v>14</v>
      </c>
      <c r="BZ78" s="1108" t="s">
        <v>16</v>
      </c>
      <c r="CA78" s="1108" t="s">
        <v>14</v>
      </c>
      <c r="CB78" s="1108" t="s">
        <v>15</v>
      </c>
      <c r="CC78" s="1108" t="s">
        <v>15</v>
      </c>
      <c r="CD78" s="1108" t="s">
        <v>16</v>
      </c>
      <c r="CE78" s="1108" t="s">
        <v>17</v>
      </c>
      <c r="CF78" s="1108" t="s">
        <v>18</v>
      </c>
      <c r="CG78" s="1108" t="s">
        <v>19</v>
      </c>
      <c r="CH78" s="1108" t="s">
        <v>20</v>
      </c>
      <c r="CI78" s="1108" t="s">
        <v>15</v>
      </c>
      <c r="CJ78" s="1108" t="s">
        <v>21</v>
      </c>
      <c r="CK78" s="1108" t="s">
        <v>14</v>
      </c>
      <c r="CL78" s="1108" t="s">
        <v>16</v>
      </c>
      <c r="CM78" s="1109" t="s">
        <v>14</v>
      </c>
      <c r="CN78" s="1108" t="s">
        <v>15</v>
      </c>
      <c r="CO78" s="1109" t="s">
        <v>15</v>
      </c>
      <c r="CP78" s="1110" t="s">
        <v>16</v>
      </c>
      <c r="CQ78" s="1110" t="s">
        <v>17</v>
      </c>
      <c r="CR78" s="1108" t="s">
        <v>18</v>
      </c>
      <c r="CS78" s="1108" t="s">
        <v>19</v>
      </c>
      <c r="CT78" s="1108" t="s">
        <v>20</v>
      </c>
      <c r="CU78" s="1108" t="s">
        <v>15</v>
      </c>
      <c r="CV78" s="1108" t="s">
        <v>21</v>
      </c>
      <c r="CW78" s="1108" t="s">
        <v>14</v>
      </c>
      <c r="CX78" s="1108" t="s">
        <v>16</v>
      </c>
      <c r="CY78" s="1108" t="s">
        <v>14</v>
      </c>
      <c r="CZ78" s="1108" t="s">
        <v>15</v>
      </c>
      <c r="DA78" s="1109" t="s">
        <v>15</v>
      </c>
      <c r="DB78" s="1108" t="s">
        <v>16</v>
      </c>
      <c r="DC78" s="1108" t="s">
        <v>17</v>
      </c>
      <c r="DD78" s="1110" t="s">
        <v>18</v>
      </c>
      <c r="DE78" s="1108" t="s">
        <v>19</v>
      </c>
      <c r="DF78" s="1108" t="s">
        <v>20</v>
      </c>
      <c r="DG78" s="1108" t="s">
        <v>15</v>
      </c>
      <c r="DH78" s="1108" t="s">
        <v>21</v>
      </c>
      <c r="DI78" s="1108" t="s">
        <v>14</v>
      </c>
      <c r="DJ78" s="1108" t="s">
        <v>16</v>
      </c>
      <c r="DK78" s="1108" t="s">
        <v>14</v>
      </c>
      <c r="DL78" s="1108" t="s">
        <v>15</v>
      </c>
      <c r="DM78" s="1109" t="s">
        <v>15</v>
      </c>
      <c r="DN78" s="1108" t="s">
        <v>16</v>
      </c>
      <c r="DO78" s="1164" t="s">
        <v>17</v>
      </c>
      <c r="DP78" s="1164" t="s">
        <v>18</v>
      </c>
      <c r="DQ78" s="1110" t="s">
        <v>19</v>
      </c>
      <c r="DR78" s="1108" t="s">
        <v>20</v>
      </c>
      <c r="DS78" s="1184" t="s">
        <v>15</v>
      </c>
    </row>
    <row r="79" spans="2:120" s="35" customFormat="1" ht="11.25">
      <c r="B79" s="36"/>
      <c r="C79" s="36"/>
      <c r="D79" s="1081" t="s">
        <v>14</v>
      </c>
      <c r="E79" s="1081" t="s">
        <v>15</v>
      </c>
      <c r="F79" s="1081" t="s">
        <v>15</v>
      </c>
      <c r="G79" s="1081" t="s">
        <v>16</v>
      </c>
      <c r="H79" s="1081" t="s">
        <v>17</v>
      </c>
      <c r="I79" s="1083" t="s">
        <v>18</v>
      </c>
      <c r="J79" s="1081" t="s">
        <v>19</v>
      </c>
      <c r="K79" s="1081" t="s">
        <v>20</v>
      </c>
      <c r="L79" s="1081" t="s">
        <v>15</v>
      </c>
      <c r="M79" s="1081" t="s">
        <v>21</v>
      </c>
      <c r="N79" s="1081" t="s">
        <v>14</v>
      </c>
      <c r="O79" s="1081" t="s">
        <v>16</v>
      </c>
      <c r="P79" s="1081" t="s">
        <v>14</v>
      </c>
      <c r="Q79" s="1081" t="s">
        <v>15</v>
      </c>
      <c r="R79" s="1081" t="s">
        <v>15</v>
      </c>
      <c r="S79" s="1081" t="s">
        <v>16</v>
      </c>
      <c r="T79" s="1081" t="s">
        <v>17</v>
      </c>
      <c r="U79" s="1081" t="s">
        <v>18</v>
      </c>
      <c r="V79" s="1081" t="s">
        <v>19</v>
      </c>
      <c r="W79" s="1081" t="s">
        <v>20</v>
      </c>
      <c r="X79" s="1081" t="s">
        <v>15</v>
      </c>
      <c r="Y79" s="1081" t="s">
        <v>21</v>
      </c>
      <c r="Z79" s="1081" t="s">
        <v>14</v>
      </c>
      <c r="AA79" s="1081" t="s">
        <v>16</v>
      </c>
      <c r="AB79" s="1081" t="s">
        <v>14</v>
      </c>
      <c r="AC79" s="1081" t="s">
        <v>15</v>
      </c>
      <c r="AD79" s="1081" t="s">
        <v>15</v>
      </c>
      <c r="AE79" s="1081" t="s">
        <v>16</v>
      </c>
      <c r="AF79" s="1081" t="s">
        <v>17</v>
      </c>
      <c r="AG79" s="1081" t="s">
        <v>18</v>
      </c>
      <c r="AH79" s="1081" t="s">
        <v>19</v>
      </c>
      <c r="AI79" s="1081" t="s">
        <v>20</v>
      </c>
      <c r="AJ79" s="1081" t="s">
        <v>15</v>
      </c>
      <c r="AK79" s="1081" t="s">
        <v>21</v>
      </c>
      <c r="AL79" s="1081" t="s">
        <v>14</v>
      </c>
      <c r="AM79" s="1081" t="s">
        <v>16</v>
      </c>
      <c r="AN79" s="1081" t="s">
        <v>14</v>
      </c>
      <c r="AO79" s="1081" t="s">
        <v>15</v>
      </c>
      <c r="AP79" s="1081" t="s">
        <v>15</v>
      </c>
      <c r="AQ79" s="1081" t="s">
        <v>16</v>
      </c>
      <c r="AR79" s="1081" t="s">
        <v>17</v>
      </c>
      <c r="AS79" s="1081" t="s">
        <v>18</v>
      </c>
      <c r="AT79" s="1084" t="s">
        <v>19</v>
      </c>
      <c r="AU79" s="1085"/>
      <c r="AV79" s="1081" t="s">
        <v>20</v>
      </c>
      <c r="AW79" s="1081" t="s">
        <v>15</v>
      </c>
      <c r="AX79" s="1081" t="s">
        <v>21</v>
      </c>
      <c r="AY79" s="1081" t="s">
        <v>14</v>
      </c>
      <c r="AZ79" s="1081" t="s">
        <v>16</v>
      </c>
      <c r="BA79" s="1081" t="s">
        <v>14</v>
      </c>
      <c r="BB79" s="1086" t="s">
        <v>15</v>
      </c>
      <c r="BC79" s="1086"/>
      <c r="BD79" s="1081" t="s">
        <v>15</v>
      </c>
      <c r="BE79" s="1081" t="s">
        <v>16</v>
      </c>
      <c r="BF79" s="1081"/>
      <c r="BG79" s="1081" t="s">
        <v>17</v>
      </c>
      <c r="BH79" s="1081" t="s">
        <v>18</v>
      </c>
      <c r="BI79" s="1081" t="s">
        <v>19</v>
      </c>
      <c r="BJ79" s="1081" t="s">
        <v>20</v>
      </c>
      <c r="BK79" s="1081" t="s">
        <v>15</v>
      </c>
      <c r="BL79" s="1081" t="s">
        <v>21</v>
      </c>
      <c r="BM79" s="1081" t="s">
        <v>14</v>
      </c>
      <c r="BN79" s="1081" t="s">
        <v>16</v>
      </c>
      <c r="BO79" s="1081" t="s">
        <v>14</v>
      </c>
      <c r="BP79" s="1081" t="s">
        <v>15</v>
      </c>
      <c r="BQ79" s="1081" t="s">
        <v>15</v>
      </c>
      <c r="BR79" s="1081" t="s">
        <v>16</v>
      </c>
      <c r="BS79" s="1081" t="s">
        <v>17</v>
      </c>
      <c r="BT79" s="1083" t="s">
        <v>18</v>
      </c>
      <c r="BU79" s="1081" t="s">
        <v>19</v>
      </c>
      <c r="BV79" s="1081" t="s">
        <v>20</v>
      </c>
      <c r="BW79" s="1081" t="s">
        <v>15</v>
      </c>
      <c r="BX79" s="1081" t="s">
        <v>21</v>
      </c>
      <c r="BY79" s="1081" t="s">
        <v>14</v>
      </c>
      <c r="BZ79" s="1081" t="s">
        <v>16</v>
      </c>
      <c r="CA79" s="1082" t="s">
        <v>14</v>
      </c>
      <c r="CB79" s="36" t="s">
        <v>15</v>
      </c>
      <c r="CC79" s="36"/>
      <c r="CD79" s="36"/>
      <c r="CE79" s="36"/>
      <c r="CF79" s="36"/>
      <c r="CO79" s="36"/>
      <c r="CP79" s="36"/>
      <c r="CR79" s="36"/>
      <c r="DB79" s="36"/>
      <c r="DC79" s="36"/>
      <c r="DD79" s="36"/>
      <c r="DN79" s="36"/>
      <c r="DP79" s="36"/>
    </row>
    <row r="80" spans="2:120" ht="14.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R80" s="25"/>
      <c r="CS80" s="25"/>
      <c r="DD80" s="25"/>
      <c r="DE80" s="25"/>
      <c r="DP80" s="25"/>
    </row>
    <row r="81" spans="2:120" ht="14.25">
      <c r="B81" s="25"/>
      <c r="C81" s="25"/>
      <c r="D81" s="25"/>
      <c r="E81" s="25"/>
      <c r="F81" s="25"/>
      <c r="G81" s="25"/>
      <c r="H81" s="25"/>
      <c r="I81" s="25"/>
      <c r="K81" s="25"/>
      <c r="L81" s="25"/>
      <c r="M81" s="25"/>
      <c r="N81" s="25"/>
      <c r="O81" s="25"/>
      <c r="P81" s="25"/>
      <c r="Q81" s="25"/>
      <c r="R81" s="25"/>
      <c r="S81" s="25"/>
      <c r="T81" s="25"/>
      <c r="U81" s="25"/>
      <c r="V81" s="25"/>
      <c r="W81" s="25"/>
      <c r="X81" s="25"/>
      <c r="Y81" s="25"/>
      <c r="Z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R81" s="25"/>
      <c r="CS81" s="25"/>
      <c r="DD81" s="25"/>
      <c r="DE81" s="25"/>
      <c r="DP81" s="25"/>
    </row>
    <row r="82" spans="2:120" ht="14.25">
      <c r="B82" s="25"/>
      <c r="C82" s="25"/>
      <c r="D82" s="25"/>
      <c r="E82" s="25"/>
      <c r="F82" s="25"/>
      <c r="G82" s="25"/>
      <c r="H82" s="25"/>
      <c r="J82" s="25"/>
      <c r="K82" s="25"/>
      <c r="L82" s="25"/>
      <c r="M82" s="25"/>
      <c r="N82" s="25"/>
      <c r="O82" s="25"/>
      <c r="P82" s="25"/>
      <c r="Q82" s="25"/>
      <c r="R82" s="25"/>
      <c r="S82" s="25"/>
      <c r="T82" s="25"/>
      <c r="U82" s="25"/>
      <c r="V82" s="25"/>
      <c r="W82" s="25"/>
      <c r="X82" s="25"/>
      <c r="Y82" s="25"/>
      <c r="Z82" s="25"/>
      <c r="AA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R82" s="25"/>
      <c r="CS82" s="25"/>
      <c r="DD82" s="25"/>
      <c r="DE82" s="25"/>
      <c r="DP82" s="25"/>
    </row>
    <row r="83" spans="80:82" ht="14.25">
      <c r="CB83" s="25"/>
      <c r="CC83" s="25"/>
      <c r="CD83" s="25"/>
    </row>
    <row r="84" spans="80:82" ht="14.25">
      <c r="CB84" s="25"/>
      <c r="CC84" s="25"/>
      <c r="CD84" s="25"/>
    </row>
    <row r="85" spans="80:82" ht="14.25">
      <c r="CB85" s="25"/>
      <c r="CC85" s="25"/>
      <c r="CD85" s="25"/>
    </row>
    <row r="86" spans="80:82" ht="14.25">
      <c r="CB86" s="25"/>
      <c r="CC86" s="25"/>
      <c r="CD86" s="25"/>
    </row>
    <row r="87" spans="80:82" ht="14.25">
      <c r="CB87" s="25"/>
      <c r="CC87" s="25"/>
      <c r="CD87" s="25"/>
    </row>
    <row r="88" spans="80:82" ht="14.25">
      <c r="CB88" s="25"/>
      <c r="CC88" s="25"/>
      <c r="CD88" s="25"/>
    </row>
    <row r="89" spans="80:82" ht="14.25">
      <c r="CB89" s="25"/>
      <c r="CC89" s="25"/>
      <c r="CD89" s="25"/>
    </row>
    <row r="90" spans="80:82" ht="14.25">
      <c r="CB90" s="25"/>
      <c r="CC90" s="25"/>
      <c r="CD90" s="25"/>
    </row>
    <row r="91" spans="80:82" ht="14.25">
      <c r="CB91" s="25"/>
      <c r="CC91" s="25"/>
      <c r="CD91" s="25"/>
    </row>
    <row r="92" spans="80:82" ht="14.25">
      <c r="CB92" s="25"/>
      <c r="CC92" s="25"/>
      <c r="CD92" s="25"/>
    </row>
    <row r="93" spans="80:82" ht="14.25">
      <c r="CB93" s="25"/>
      <c r="CC93" s="25"/>
      <c r="CD93" s="25"/>
    </row>
    <row r="94" spans="80:82" ht="14.25">
      <c r="CB94" s="25"/>
      <c r="CC94" s="25"/>
      <c r="CD94" s="25"/>
    </row>
    <row r="95" spans="80:82" ht="14.25">
      <c r="CB95" s="25"/>
      <c r="CC95" s="25"/>
      <c r="CD95" s="25"/>
    </row>
    <row r="96" spans="80:82" ht="14.25">
      <c r="CB96" s="25"/>
      <c r="CC96" s="25"/>
      <c r="CD96" s="25"/>
    </row>
    <row r="97" spans="80:82" ht="14.25">
      <c r="CB97" s="25"/>
      <c r="CC97" s="25"/>
      <c r="CD97" s="25"/>
    </row>
    <row r="98" spans="80:82" ht="14.25">
      <c r="CB98" s="25"/>
      <c r="CC98" s="25"/>
      <c r="CD98" s="25"/>
    </row>
    <row r="99" spans="80:82" ht="14.25">
      <c r="CB99" s="25"/>
      <c r="CC99" s="25"/>
      <c r="CD99" s="25"/>
    </row>
    <row r="100" spans="80:82" ht="14.25">
      <c r="CB100" s="25"/>
      <c r="CC100" s="25"/>
      <c r="CD100" s="25"/>
    </row>
    <row r="101" spans="80:82" ht="14.25">
      <c r="CB101" s="25"/>
      <c r="CC101" s="25"/>
      <c r="CD101" s="25"/>
    </row>
    <row r="102" spans="80:82" ht="14.25">
      <c r="CB102" s="25"/>
      <c r="CC102" s="25"/>
      <c r="CD102" s="25"/>
    </row>
    <row r="103" spans="80:82" ht="14.25">
      <c r="CB103" s="25"/>
      <c r="CC103" s="25"/>
      <c r="CD103" s="25"/>
    </row>
    <row r="104" spans="80:82" ht="14.25">
      <c r="CB104" s="25"/>
      <c r="CC104" s="25"/>
      <c r="CD104" s="25"/>
    </row>
    <row r="105" spans="80:82" ht="14.25">
      <c r="CB105" s="25"/>
      <c r="CC105" s="25"/>
      <c r="CD105" s="25"/>
    </row>
    <row r="106" spans="80:82" ht="14.25">
      <c r="CB106" s="25"/>
      <c r="CC106" s="25"/>
      <c r="CD106" s="25"/>
    </row>
    <row r="107" spans="80:82" ht="14.25">
      <c r="CB107" s="25"/>
      <c r="CC107" s="25"/>
      <c r="CD107" s="25"/>
    </row>
    <row r="108" spans="80:82" ht="14.25">
      <c r="CB108" s="25"/>
      <c r="CC108" s="25"/>
      <c r="CD108" s="25"/>
    </row>
    <row r="109" spans="80:82" ht="14.25">
      <c r="CB109" s="25"/>
      <c r="CC109" s="25"/>
      <c r="CD109" s="25"/>
    </row>
    <row r="110" spans="80:82" ht="14.25">
      <c r="CB110" s="25"/>
      <c r="CC110" s="25"/>
      <c r="CD110" s="25"/>
    </row>
    <row r="111" spans="80:82" ht="14.25">
      <c r="CB111" s="25"/>
      <c r="CC111" s="25"/>
      <c r="CD111" s="25"/>
    </row>
    <row r="112" spans="80:82" ht="14.25">
      <c r="CB112" s="25"/>
      <c r="CC112" s="25"/>
      <c r="CD112" s="25"/>
    </row>
    <row r="113" spans="80:82" ht="14.25">
      <c r="CB113" s="25"/>
      <c r="CC113" s="25"/>
      <c r="CD113" s="25"/>
    </row>
    <row r="114" spans="80:82" ht="14.25">
      <c r="CB114" s="25"/>
      <c r="CC114" s="25"/>
      <c r="CD114" s="25"/>
    </row>
    <row r="115" spans="80:82" ht="14.25">
      <c r="CB115" s="25"/>
      <c r="CC115" s="25"/>
      <c r="CD115" s="25"/>
    </row>
    <row r="116" spans="80:82" ht="14.25">
      <c r="CB116" s="25"/>
      <c r="CC116" s="25"/>
      <c r="CD116" s="25"/>
    </row>
    <row r="117" spans="80:82" ht="14.25">
      <c r="CB117" s="25"/>
      <c r="CC117" s="25"/>
      <c r="CD117" s="25"/>
    </row>
    <row r="118" spans="80:82" ht="14.25">
      <c r="CB118" s="25"/>
      <c r="CC118" s="25"/>
      <c r="CD118" s="25"/>
    </row>
    <row r="119" spans="80:82" ht="14.25">
      <c r="CB119" s="25"/>
      <c r="CC119" s="25"/>
      <c r="CD119" s="25"/>
    </row>
    <row r="120" spans="80:82" ht="14.25">
      <c r="CB120" s="25"/>
      <c r="CC120" s="25"/>
      <c r="CD120" s="25"/>
    </row>
    <row r="121" spans="80:82" ht="14.25">
      <c r="CB121" s="25"/>
      <c r="CC121" s="25"/>
      <c r="CD121" s="25"/>
    </row>
    <row r="122" spans="80:82" ht="14.25">
      <c r="CB122" s="25"/>
      <c r="CC122" s="25"/>
      <c r="CD122" s="25"/>
    </row>
    <row r="123" spans="80:82" ht="14.25">
      <c r="CB123" s="25"/>
      <c r="CC123" s="25"/>
      <c r="CD123" s="25"/>
    </row>
    <row r="124" spans="80:82" ht="14.25">
      <c r="CB124" s="25"/>
      <c r="CC124" s="25"/>
      <c r="CD124" s="25"/>
    </row>
    <row r="125" spans="80:82" ht="14.25">
      <c r="CB125" s="25"/>
      <c r="CC125" s="25"/>
      <c r="CD125" s="25"/>
    </row>
    <row r="126" spans="80:82" ht="14.25">
      <c r="CB126" s="25"/>
      <c r="CC126" s="25"/>
      <c r="CD126" s="25"/>
    </row>
    <row r="127" spans="80:82" ht="14.25">
      <c r="CB127" s="25"/>
      <c r="CC127" s="25"/>
      <c r="CD127" s="25"/>
    </row>
    <row r="128" spans="80:82" ht="14.25">
      <c r="CB128" s="25"/>
      <c r="CC128" s="25"/>
      <c r="CD128" s="25"/>
    </row>
    <row r="129" spans="80:82" ht="14.25">
      <c r="CB129" s="25"/>
      <c r="CC129" s="25"/>
      <c r="CD129" s="25"/>
    </row>
    <row r="130" spans="80:82" ht="14.25">
      <c r="CB130" s="25"/>
      <c r="CC130" s="25"/>
      <c r="CD130" s="25"/>
    </row>
    <row r="131" spans="80:82" ht="14.25">
      <c r="CB131" s="25"/>
      <c r="CC131" s="25"/>
      <c r="CD131" s="25"/>
    </row>
    <row r="132" spans="80:82" ht="14.25">
      <c r="CB132" s="25"/>
      <c r="CC132" s="25"/>
      <c r="CD132" s="25"/>
    </row>
    <row r="133" spans="80:82" ht="14.25">
      <c r="CB133" s="25"/>
      <c r="CC133" s="25"/>
      <c r="CD133" s="25"/>
    </row>
    <row r="134" spans="80:82" ht="14.25">
      <c r="CB134" s="25"/>
      <c r="CC134" s="25"/>
      <c r="CD134" s="25"/>
    </row>
    <row r="135" spans="80:82" ht="14.25">
      <c r="CB135" s="25"/>
      <c r="CC135" s="25"/>
      <c r="CD135" s="25"/>
    </row>
    <row r="136" spans="80:82" ht="14.25">
      <c r="CB136" s="25"/>
      <c r="CC136" s="25"/>
      <c r="CD136" s="25"/>
    </row>
    <row r="137" spans="80:82" ht="14.25">
      <c r="CB137" s="25"/>
      <c r="CC137" s="25"/>
      <c r="CD137" s="25"/>
    </row>
    <row r="138" spans="80:82" ht="14.25">
      <c r="CB138" s="25"/>
      <c r="CC138" s="25"/>
      <c r="CD138" s="25"/>
    </row>
    <row r="139" spans="80:82" ht="14.25">
      <c r="CB139" s="25"/>
      <c r="CC139" s="25"/>
      <c r="CD139" s="25"/>
    </row>
    <row r="140" spans="80:82" ht="14.25">
      <c r="CB140" s="25"/>
      <c r="CC140" s="25"/>
      <c r="CD140" s="25"/>
    </row>
    <row r="141" spans="80:82" ht="14.25">
      <c r="CB141" s="25"/>
      <c r="CC141" s="25"/>
      <c r="CD141" s="25"/>
    </row>
    <row r="142" spans="80:82" ht="14.25">
      <c r="CB142" s="25"/>
      <c r="CC142" s="25"/>
      <c r="CD142" s="25"/>
    </row>
    <row r="143" spans="80:82" ht="14.25">
      <c r="CB143" s="25"/>
      <c r="CC143" s="25"/>
      <c r="CD143" s="25"/>
    </row>
    <row r="144" spans="80:82" ht="14.25">
      <c r="CB144" s="25"/>
      <c r="CC144" s="25"/>
      <c r="CD144" s="25"/>
    </row>
    <row r="145" spans="80:82" ht="14.25">
      <c r="CB145" s="25"/>
      <c r="CC145" s="25"/>
      <c r="CD145" s="25"/>
    </row>
    <row r="146" spans="80:82" ht="14.25">
      <c r="CB146" s="25"/>
      <c r="CC146" s="25"/>
      <c r="CD146" s="25"/>
    </row>
    <row r="147" spans="80:82" ht="14.25">
      <c r="CB147" s="25"/>
      <c r="CC147" s="25"/>
      <c r="CD147" s="25"/>
    </row>
    <row r="148" spans="80:82" ht="14.25">
      <c r="CB148" s="25"/>
      <c r="CC148" s="25"/>
      <c r="CD148" s="25"/>
    </row>
    <row r="149" spans="80:82" ht="14.25">
      <c r="CB149" s="25"/>
      <c r="CC149" s="25"/>
      <c r="CD149" s="25"/>
    </row>
    <row r="150" spans="80:82" ht="14.25">
      <c r="CB150" s="25"/>
      <c r="CC150" s="25"/>
      <c r="CD150" s="25"/>
    </row>
    <row r="151" spans="80:82" ht="14.25">
      <c r="CB151" s="25"/>
      <c r="CC151" s="25"/>
      <c r="CD151" s="25"/>
    </row>
    <row r="152" spans="80:82" ht="14.25">
      <c r="CB152" s="25"/>
      <c r="CC152" s="25"/>
      <c r="CD152" s="25"/>
    </row>
    <row r="153" spans="80:82" ht="14.25">
      <c r="CB153" s="25"/>
      <c r="CC153" s="25"/>
      <c r="CD153" s="25"/>
    </row>
    <row r="154" spans="80:82" ht="14.25">
      <c r="CB154" s="25"/>
      <c r="CC154" s="25"/>
      <c r="CD154" s="25"/>
    </row>
    <row r="155" spans="80:82" ht="14.25">
      <c r="CB155" s="25"/>
      <c r="CC155" s="25"/>
      <c r="CD155" s="25"/>
    </row>
    <row r="156" spans="80:82" ht="14.25">
      <c r="CB156" s="25"/>
      <c r="CC156" s="25"/>
      <c r="CD156" s="25"/>
    </row>
    <row r="157" spans="80:82" ht="14.25">
      <c r="CB157" s="25"/>
      <c r="CC157" s="25"/>
      <c r="CD157" s="25"/>
    </row>
    <row r="158" spans="80:82" ht="14.25">
      <c r="CB158" s="25"/>
      <c r="CC158" s="25"/>
      <c r="CD158" s="25"/>
    </row>
    <row r="159" spans="80:82" ht="14.25">
      <c r="CB159" s="25"/>
      <c r="CC159" s="25"/>
      <c r="CD159" s="25"/>
    </row>
    <row r="160" spans="80:82" ht="14.25">
      <c r="CB160" s="25"/>
      <c r="CC160" s="25"/>
      <c r="CD160" s="25"/>
    </row>
    <row r="161" spans="80:82" ht="14.25">
      <c r="CB161" s="25"/>
      <c r="CC161" s="25"/>
      <c r="CD161" s="25"/>
    </row>
    <row r="162" spans="80:82" ht="14.25">
      <c r="CB162" s="25"/>
      <c r="CC162" s="25"/>
      <c r="CD162" s="25"/>
    </row>
    <row r="163" spans="80:82" ht="14.25">
      <c r="CB163" s="25"/>
      <c r="CC163" s="25"/>
      <c r="CD163" s="25"/>
    </row>
    <row r="164" spans="80:82" ht="14.25">
      <c r="CB164" s="25"/>
      <c r="CC164" s="25"/>
      <c r="CD164" s="25"/>
    </row>
    <row r="165" spans="80:82" ht="14.25">
      <c r="CB165" s="25"/>
      <c r="CC165" s="25"/>
      <c r="CD165" s="25"/>
    </row>
    <row r="166" spans="80:82" ht="14.25">
      <c r="CB166" s="25"/>
      <c r="CC166" s="25"/>
      <c r="CD166" s="25"/>
    </row>
    <row r="167" spans="80:82" ht="14.25">
      <c r="CB167" s="25"/>
      <c r="CC167" s="25"/>
      <c r="CD167" s="25"/>
    </row>
    <row r="168" spans="80:82" ht="14.25">
      <c r="CB168" s="25"/>
      <c r="CC168" s="25"/>
      <c r="CD168" s="25"/>
    </row>
    <row r="169" spans="80:82" ht="14.25">
      <c r="CB169" s="25"/>
      <c r="CC169" s="25"/>
      <c r="CD169" s="25"/>
    </row>
    <row r="170" spans="80:82" ht="14.25">
      <c r="CB170" s="25"/>
      <c r="CC170" s="25"/>
      <c r="CD170" s="25"/>
    </row>
    <row r="171" spans="80:82" ht="14.25">
      <c r="CB171" s="25"/>
      <c r="CC171" s="25"/>
      <c r="CD171" s="25"/>
    </row>
    <row r="172" spans="80:82" ht="14.25">
      <c r="CB172" s="25"/>
      <c r="CC172" s="25"/>
      <c r="CD172" s="25"/>
    </row>
    <row r="173" spans="80:82" ht="14.25">
      <c r="CB173" s="25"/>
      <c r="CC173" s="25"/>
      <c r="CD173" s="25"/>
    </row>
    <row r="174" spans="80:82" ht="14.25">
      <c r="CB174" s="25"/>
      <c r="CC174" s="25"/>
      <c r="CD174" s="25"/>
    </row>
    <row r="175" spans="80:82" ht="14.25">
      <c r="CB175" s="25"/>
      <c r="CC175" s="25"/>
      <c r="CD175" s="25"/>
    </row>
    <row r="176" spans="80:82" ht="14.25">
      <c r="CB176" s="25"/>
      <c r="CC176" s="25"/>
      <c r="CD176" s="25"/>
    </row>
    <row r="177" spans="80:82" ht="14.25">
      <c r="CB177" s="25"/>
      <c r="CC177" s="25"/>
      <c r="CD177" s="25"/>
    </row>
    <row r="178" spans="80:82" ht="14.25">
      <c r="CB178" s="25"/>
      <c r="CC178" s="25"/>
      <c r="CD178" s="25"/>
    </row>
    <row r="179" spans="80:82" ht="14.25">
      <c r="CB179" s="25"/>
      <c r="CC179" s="25"/>
      <c r="CD179" s="25"/>
    </row>
    <row r="180" spans="80:82" ht="14.25">
      <c r="CB180" s="25"/>
      <c r="CC180" s="25"/>
      <c r="CD180" s="25"/>
    </row>
    <row r="181" spans="80:82" ht="14.25">
      <c r="CB181" s="25"/>
      <c r="CC181" s="25"/>
      <c r="CD181" s="25"/>
    </row>
    <row r="182" spans="80:82" ht="14.25">
      <c r="CB182" s="25"/>
      <c r="CC182" s="25"/>
      <c r="CD182" s="25"/>
    </row>
    <row r="183" spans="80:82" ht="14.25">
      <c r="CB183" s="25"/>
      <c r="CC183" s="25"/>
      <c r="CD183" s="25"/>
    </row>
    <row r="184" spans="80:82" ht="14.25">
      <c r="CB184" s="25"/>
      <c r="CC184" s="25"/>
      <c r="CD184" s="25"/>
    </row>
    <row r="185" spans="80:82" ht="14.25">
      <c r="CB185" s="25"/>
      <c r="CC185" s="25"/>
      <c r="CD185" s="25"/>
    </row>
    <row r="186" spans="80:82" ht="14.25">
      <c r="CB186" s="25"/>
      <c r="CC186" s="25"/>
      <c r="CD186" s="25"/>
    </row>
    <row r="187" spans="80:82" ht="14.25">
      <c r="CB187" s="25"/>
      <c r="CC187" s="25"/>
      <c r="CD187" s="25"/>
    </row>
    <row r="188" spans="80:82" ht="14.25">
      <c r="CB188" s="25"/>
      <c r="CC188" s="25"/>
      <c r="CD188" s="25"/>
    </row>
    <row r="189" spans="80:82" ht="14.25">
      <c r="CB189" s="25"/>
      <c r="CC189" s="25"/>
      <c r="CD189" s="25"/>
    </row>
    <row r="190" spans="80:82" ht="14.25">
      <c r="CB190" s="25"/>
      <c r="CC190" s="25"/>
      <c r="CD190" s="25"/>
    </row>
    <row r="191" spans="80:82" ht="14.25">
      <c r="CB191" s="25"/>
      <c r="CC191" s="25"/>
      <c r="CD191" s="25"/>
    </row>
    <row r="192" spans="80:82" ht="14.25">
      <c r="CB192" s="25"/>
      <c r="CC192" s="25"/>
      <c r="CD192" s="25"/>
    </row>
    <row r="193" spans="80:82" ht="14.25">
      <c r="CB193" s="25"/>
      <c r="CC193" s="25"/>
      <c r="CD193" s="25"/>
    </row>
    <row r="194" spans="80:82" ht="14.25">
      <c r="CB194" s="25"/>
      <c r="CC194" s="25"/>
      <c r="CD194" s="25"/>
    </row>
    <row r="195" spans="80:82" ht="14.25">
      <c r="CB195" s="25"/>
      <c r="CC195" s="25"/>
      <c r="CD195" s="25"/>
    </row>
    <row r="196" spans="80:82" ht="14.25">
      <c r="CB196" s="25"/>
      <c r="CC196" s="25"/>
      <c r="CD196" s="25"/>
    </row>
    <row r="197" spans="80:82" ht="14.25">
      <c r="CB197" s="25"/>
      <c r="CC197" s="25"/>
      <c r="CD197" s="25"/>
    </row>
    <row r="198" spans="80:82" ht="14.25">
      <c r="CB198" s="25"/>
      <c r="CC198" s="25"/>
      <c r="CD198" s="25"/>
    </row>
    <row r="199" spans="80:82" ht="14.25">
      <c r="CB199" s="25"/>
      <c r="CC199" s="25"/>
      <c r="CD199" s="25"/>
    </row>
    <row r="200" spans="80:82" ht="14.25">
      <c r="CB200" s="25"/>
      <c r="CC200" s="25"/>
      <c r="CD200" s="25"/>
    </row>
    <row r="201" spans="80:82" ht="14.25">
      <c r="CB201" s="25"/>
      <c r="CC201" s="25"/>
      <c r="CD201" s="25"/>
    </row>
    <row r="202" spans="80:82" ht="14.25">
      <c r="CB202" s="25"/>
      <c r="CC202" s="25"/>
      <c r="CD202" s="25"/>
    </row>
    <row r="203" spans="80:82" ht="14.25">
      <c r="CB203" s="25"/>
      <c r="CC203" s="25"/>
      <c r="CD203" s="25"/>
    </row>
    <row r="204" spans="80:82" ht="14.25">
      <c r="CB204" s="25"/>
      <c r="CC204" s="25"/>
      <c r="CD204" s="25"/>
    </row>
    <row r="205" spans="80:82" ht="14.25">
      <c r="CB205" s="25"/>
      <c r="CC205" s="25"/>
      <c r="CD205" s="25"/>
    </row>
    <row r="206" spans="80:82" ht="14.25">
      <c r="CB206" s="25"/>
      <c r="CC206" s="25"/>
      <c r="CD206" s="25"/>
    </row>
    <row r="207" spans="80:82" ht="14.25">
      <c r="CB207" s="25"/>
      <c r="CC207" s="25"/>
      <c r="CD207" s="25"/>
    </row>
    <row r="208" spans="80:82" ht="14.25">
      <c r="CB208" s="25"/>
      <c r="CC208" s="25"/>
      <c r="CD208" s="25"/>
    </row>
    <row r="209" spans="80:82" ht="14.25">
      <c r="CB209" s="25"/>
      <c r="CC209" s="25"/>
      <c r="CD209" s="25"/>
    </row>
    <row r="210" spans="80:82" ht="14.25">
      <c r="CB210" s="25"/>
      <c r="CC210" s="25"/>
      <c r="CD210" s="25"/>
    </row>
    <row r="211" spans="80:82" ht="14.25">
      <c r="CB211" s="25"/>
      <c r="CC211" s="25"/>
      <c r="CD211" s="25"/>
    </row>
    <row r="212" spans="80:82" ht="14.25">
      <c r="CB212" s="25"/>
      <c r="CC212" s="25"/>
      <c r="CD212" s="25"/>
    </row>
    <row r="213" spans="80:82" ht="14.25">
      <c r="CB213" s="25"/>
      <c r="CC213" s="25"/>
      <c r="CD213" s="25"/>
    </row>
    <row r="214" spans="80:82" ht="14.25">
      <c r="CB214" s="25"/>
      <c r="CC214" s="25"/>
      <c r="CD214" s="25"/>
    </row>
    <row r="215" spans="80:82" ht="14.25">
      <c r="CB215" s="25"/>
      <c r="CC215" s="25"/>
      <c r="CD215" s="25"/>
    </row>
    <row r="216" spans="80:82" ht="14.25">
      <c r="CB216" s="25"/>
      <c r="CC216" s="25"/>
      <c r="CD216" s="25"/>
    </row>
    <row r="217" spans="80:82" ht="14.25">
      <c r="CB217" s="25"/>
      <c r="CC217" s="25"/>
      <c r="CD217" s="25"/>
    </row>
    <row r="218" spans="80:82" ht="14.25">
      <c r="CB218" s="25"/>
      <c r="CC218" s="25"/>
      <c r="CD218" s="25"/>
    </row>
    <row r="219" spans="80:82" ht="14.25">
      <c r="CB219" s="25"/>
      <c r="CC219" s="25"/>
      <c r="CD219" s="25"/>
    </row>
    <row r="220" spans="80:82" ht="14.25">
      <c r="CB220" s="25"/>
      <c r="CC220" s="25"/>
      <c r="CD220" s="25"/>
    </row>
    <row r="221" spans="80:82" ht="14.25">
      <c r="CB221" s="25"/>
      <c r="CC221" s="25"/>
      <c r="CD221" s="25"/>
    </row>
    <row r="222" spans="80:82" ht="14.25">
      <c r="CB222" s="25"/>
      <c r="CC222" s="25"/>
      <c r="CD222" s="25"/>
    </row>
    <row r="223" spans="80:82" ht="14.25">
      <c r="CB223" s="25"/>
      <c r="CC223" s="25"/>
      <c r="CD223" s="25"/>
    </row>
    <row r="224" spans="80:82" ht="14.25">
      <c r="CB224" s="25"/>
      <c r="CC224" s="25"/>
      <c r="CD224" s="25"/>
    </row>
    <row r="225" spans="80:82" ht="14.25">
      <c r="CB225" s="25"/>
      <c r="CC225" s="25"/>
      <c r="CD225" s="25"/>
    </row>
    <row r="226" spans="80:82" ht="14.25">
      <c r="CB226" s="25"/>
      <c r="CC226" s="25"/>
      <c r="CD226" s="25"/>
    </row>
    <row r="227" spans="80:82" ht="14.25">
      <c r="CB227" s="25"/>
      <c r="CC227" s="25"/>
      <c r="CD227" s="25"/>
    </row>
    <row r="228" spans="80:82" ht="14.25">
      <c r="CB228" s="25"/>
      <c r="CC228" s="25"/>
      <c r="CD228" s="25"/>
    </row>
    <row r="229" spans="80:82" ht="14.25">
      <c r="CB229" s="25"/>
      <c r="CC229" s="25"/>
      <c r="CD229" s="25"/>
    </row>
    <row r="230" spans="80:82" ht="14.25">
      <c r="CB230" s="25"/>
      <c r="CC230" s="25"/>
      <c r="CD230" s="25"/>
    </row>
    <row r="231" spans="80:82" ht="14.25">
      <c r="CB231" s="25"/>
      <c r="CC231" s="25"/>
      <c r="CD231" s="25"/>
    </row>
    <row r="232" spans="80:82" ht="14.25">
      <c r="CB232" s="25"/>
      <c r="CC232" s="25"/>
      <c r="CD232" s="25"/>
    </row>
    <row r="233" spans="80:82" ht="14.25">
      <c r="CB233" s="25"/>
      <c r="CC233" s="25"/>
      <c r="CD233" s="25"/>
    </row>
    <row r="234" spans="80:82" ht="14.25">
      <c r="CB234" s="25"/>
      <c r="CC234" s="25"/>
      <c r="CD234" s="25"/>
    </row>
    <row r="235" spans="80:82" ht="14.25">
      <c r="CB235" s="25"/>
      <c r="CC235" s="25"/>
      <c r="CD235" s="25"/>
    </row>
    <row r="236" spans="80:82" ht="14.25">
      <c r="CB236" s="25"/>
      <c r="CC236" s="25"/>
      <c r="CD236" s="25"/>
    </row>
    <row r="237" spans="80:82" ht="14.25">
      <c r="CB237" s="25"/>
      <c r="CC237" s="25"/>
      <c r="CD237" s="25"/>
    </row>
    <row r="238" spans="80:82" ht="14.25">
      <c r="CB238" s="25"/>
      <c r="CC238" s="25"/>
      <c r="CD238" s="25"/>
    </row>
    <row r="239" spans="80:82" ht="14.25">
      <c r="CB239" s="25"/>
      <c r="CC239" s="25"/>
      <c r="CD239" s="25"/>
    </row>
    <row r="240" spans="80:82" ht="14.25">
      <c r="CB240" s="25"/>
      <c r="CC240" s="25"/>
      <c r="CD240" s="25"/>
    </row>
    <row r="241" spans="80:82" ht="14.25">
      <c r="CB241" s="25"/>
      <c r="CC241" s="25"/>
      <c r="CD241" s="25"/>
    </row>
    <row r="242" spans="80:82" ht="14.25">
      <c r="CB242" s="25"/>
      <c r="CC242" s="25"/>
      <c r="CD242" s="25"/>
    </row>
    <row r="243" spans="80:82" ht="14.25">
      <c r="CB243" s="25"/>
      <c r="CC243" s="25"/>
      <c r="CD243" s="25"/>
    </row>
    <row r="244" spans="80:82" ht="14.25">
      <c r="CB244" s="25"/>
      <c r="CC244" s="25"/>
      <c r="CD244" s="25"/>
    </row>
    <row r="245" spans="80:82" ht="14.25">
      <c r="CB245" s="25"/>
      <c r="CC245" s="25"/>
      <c r="CD245" s="25"/>
    </row>
    <row r="246" spans="80:82" ht="14.25">
      <c r="CB246" s="25"/>
      <c r="CC246" s="25"/>
      <c r="CD246" s="25"/>
    </row>
    <row r="247" spans="80:82" ht="14.25">
      <c r="CB247" s="25"/>
      <c r="CC247" s="25"/>
      <c r="CD247" s="25"/>
    </row>
    <row r="248" spans="80:82" ht="14.25">
      <c r="CB248" s="25"/>
      <c r="CC248" s="25"/>
      <c r="CD248" s="25"/>
    </row>
    <row r="249" spans="80:82" ht="14.25">
      <c r="CB249" s="25"/>
      <c r="CC249" s="25"/>
      <c r="CD249" s="25"/>
    </row>
    <row r="250" spans="80:82" ht="14.25">
      <c r="CB250" s="25"/>
      <c r="CC250" s="25"/>
      <c r="CD250" s="25"/>
    </row>
    <row r="251" spans="80:82" ht="14.25">
      <c r="CB251" s="25"/>
      <c r="CC251" s="25"/>
      <c r="CD251" s="25"/>
    </row>
    <row r="252" spans="80:82" ht="14.25">
      <c r="CB252" s="25"/>
      <c r="CC252" s="25"/>
      <c r="CD252" s="25"/>
    </row>
    <row r="253" spans="80:82" ht="14.25">
      <c r="CB253" s="25"/>
      <c r="CC253" s="25"/>
      <c r="CD253" s="25"/>
    </row>
    <row r="254" spans="80:82" ht="14.25">
      <c r="CB254" s="25"/>
      <c r="CC254" s="25"/>
      <c r="CD254" s="25"/>
    </row>
    <row r="255" spans="80:82" ht="14.25">
      <c r="CB255" s="25"/>
      <c r="CC255" s="25"/>
      <c r="CD255" s="25"/>
    </row>
    <row r="256" spans="80:82" ht="14.25">
      <c r="CB256" s="25"/>
      <c r="CC256" s="25"/>
      <c r="CD256" s="25"/>
    </row>
    <row r="257" spans="80:82" ht="14.25">
      <c r="CB257" s="25"/>
      <c r="CC257" s="25"/>
      <c r="CD257" s="25"/>
    </row>
    <row r="258" spans="80:82" ht="14.25">
      <c r="CB258" s="25"/>
      <c r="CC258" s="25"/>
      <c r="CD258" s="25"/>
    </row>
    <row r="259" spans="80:82" ht="14.25">
      <c r="CB259" s="25"/>
      <c r="CC259" s="25"/>
      <c r="CD259" s="25"/>
    </row>
    <row r="260" spans="80:82" ht="14.25">
      <c r="CB260" s="25"/>
      <c r="CC260" s="25"/>
      <c r="CD260" s="25"/>
    </row>
    <row r="261" spans="80:82" ht="14.25">
      <c r="CB261" s="25"/>
      <c r="CC261" s="25"/>
      <c r="CD261" s="25"/>
    </row>
    <row r="262" spans="80:82" ht="14.25">
      <c r="CB262" s="25"/>
      <c r="CC262" s="25"/>
      <c r="CD262" s="25"/>
    </row>
    <row r="263" spans="80:82" ht="14.25">
      <c r="CB263" s="25"/>
      <c r="CC263" s="25"/>
      <c r="CD263" s="25"/>
    </row>
    <row r="264" spans="80:82" ht="14.25">
      <c r="CB264" s="25"/>
      <c r="CC264" s="25"/>
      <c r="CD264" s="25"/>
    </row>
    <row r="265" spans="80:82" ht="14.25">
      <c r="CB265" s="25"/>
      <c r="CC265" s="25"/>
      <c r="CD265" s="25"/>
    </row>
    <row r="266" spans="80:82" ht="14.25">
      <c r="CB266" s="25"/>
      <c r="CC266" s="25"/>
      <c r="CD266" s="25"/>
    </row>
    <row r="267" spans="80:82" ht="14.25">
      <c r="CB267" s="25"/>
      <c r="CC267" s="25"/>
      <c r="CD267" s="25"/>
    </row>
    <row r="268" spans="80:82" ht="14.25">
      <c r="CB268" s="25"/>
      <c r="CC268" s="25"/>
      <c r="CD268" s="25"/>
    </row>
    <row r="269" spans="80:82" ht="14.25">
      <c r="CB269" s="25"/>
      <c r="CC269" s="25"/>
      <c r="CD269" s="25"/>
    </row>
    <row r="270" spans="80:82" ht="14.25">
      <c r="CB270" s="25"/>
      <c r="CC270" s="25"/>
      <c r="CD270" s="25"/>
    </row>
    <row r="271" spans="80:82" ht="14.25">
      <c r="CB271" s="25"/>
      <c r="CC271" s="25"/>
      <c r="CD271" s="25"/>
    </row>
    <row r="272" spans="80:82" ht="14.25">
      <c r="CB272" s="25"/>
      <c r="CC272" s="25"/>
      <c r="CD272" s="25"/>
    </row>
    <row r="273" spans="80:82" ht="14.25">
      <c r="CB273" s="25"/>
      <c r="CC273" s="25"/>
      <c r="CD273" s="25"/>
    </row>
    <row r="274" spans="80:82" ht="14.25">
      <c r="CB274" s="25"/>
      <c r="CC274" s="25"/>
      <c r="CD274" s="25"/>
    </row>
    <row r="275" spans="80:82" ht="14.25">
      <c r="CB275" s="25"/>
      <c r="CC275" s="25"/>
      <c r="CD275" s="25"/>
    </row>
    <row r="276" spans="80:82" ht="14.25">
      <c r="CB276" s="25"/>
      <c r="CC276" s="25"/>
      <c r="CD276" s="25"/>
    </row>
    <row r="277" spans="80:82" ht="14.25">
      <c r="CB277" s="25"/>
      <c r="CC277" s="25"/>
      <c r="CD277" s="25"/>
    </row>
    <row r="278" spans="80:82" ht="14.25">
      <c r="CB278" s="25"/>
      <c r="CC278" s="25"/>
      <c r="CD278" s="25"/>
    </row>
    <row r="279" spans="80:82" ht="14.25">
      <c r="CB279" s="25"/>
      <c r="CC279" s="25"/>
      <c r="CD279" s="25"/>
    </row>
    <row r="280" spans="80:82" ht="14.25">
      <c r="CB280" s="25"/>
      <c r="CC280" s="25"/>
      <c r="CD280" s="25"/>
    </row>
    <row r="281" spans="80:82" ht="14.25">
      <c r="CB281" s="25"/>
      <c r="CC281" s="25"/>
      <c r="CD281" s="25"/>
    </row>
    <row r="282" spans="80:82" ht="14.25">
      <c r="CB282" s="25"/>
      <c r="CC282" s="25"/>
      <c r="CD282" s="25"/>
    </row>
    <row r="283" spans="80:82" ht="14.25">
      <c r="CB283" s="25"/>
      <c r="CC283" s="25"/>
      <c r="CD283" s="25"/>
    </row>
    <row r="284" spans="80:82" ht="14.25">
      <c r="CB284" s="25"/>
      <c r="CC284" s="25"/>
      <c r="CD284" s="25"/>
    </row>
    <row r="285" spans="80:82" ht="14.25">
      <c r="CB285" s="25"/>
      <c r="CC285" s="25"/>
      <c r="CD285" s="25"/>
    </row>
    <row r="286" spans="80:82" ht="14.25">
      <c r="CB286" s="25"/>
      <c r="CC286" s="25"/>
      <c r="CD286" s="25"/>
    </row>
    <row r="287" spans="80:82" ht="14.25">
      <c r="CB287" s="25"/>
      <c r="CC287" s="25"/>
      <c r="CD287" s="25"/>
    </row>
    <row r="288" spans="80:82" ht="14.25">
      <c r="CB288" s="25"/>
      <c r="CC288" s="25"/>
      <c r="CD288" s="25"/>
    </row>
    <row r="289" spans="80:82" ht="14.25">
      <c r="CB289" s="25"/>
      <c r="CC289" s="25"/>
      <c r="CD289" s="25"/>
    </row>
    <row r="290" spans="80:82" ht="14.25">
      <c r="CB290" s="25"/>
      <c r="CC290" s="25"/>
      <c r="CD290" s="25"/>
    </row>
    <row r="291" spans="80:82" ht="14.25">
      <c r="CB291" s="25"/>
      <c r="CC291" s="25"/>
      <c r="CD291" s="25"/>
    </row>
    <row r="292" spans="80:82" ht="14.25">
      <c r="CB292" s="25"/>
      <c r="CC292" s="25"/>
      <c r="CD292" s="25"/>
    </row>
    <row r="293" spans="80:82" ht="14.25">
      <c r="CB293" s="25"/>
      <c r="CC293" s="25"/>
      <c r="CD293" s="25"/>
    </row>
    <row r="294" spans="80:82" ht="14.25">
      <c r="CB294" s="25"/>
      <c r="CC294" s="25"/>
      <c r="CD294" s="25"/>
    </row>
    <row r="295" spans="80:82" ht="14.25">
      <c r="CB295" s="25"/>
      <c r="CC295" s="25"/>
      <c r="CD295" s="25"/>
    </row>
    <row r="296" spans="80:82" ht="14.25">
      <c r="CB296" s="25"/>
      <c r="CC296" s="25"/>
      <c r="CD296" s="25"/>
    </row>
    <row r="297" spans="80:82" ht="14.25">
      <c r="CB297" s="25"/>
      <c r="CC297" s="25"/>
      <c r="CD297" s="25"/>
    </row>
    <row r="298" spans="80:82" ht="14.25">
      <c r="CB298" s="25"/>
      <c r="CC298" s="25"/>
      <c r="CD298" s="25"/>
    </row>
    <row r="299" spans="80:82" ht="14.25">
      <c r="CB299" s="25"/>
      <c r="CC299" s="25"/>
      <c r="CD299" s="25"/>
    </row>
    <row r="300" spans="80:82" ht="14.25">
      <c r="CB300" s="25"/>
      <c r="CC300" s="25"/>
      <c r="CD300" s="25"/>
    </row>
    <row r="301" spans="80:82" ht="14.25">
      <c r="CB301" s="25"/>
      <c r="CC301" s="25"/>
      <c r="CD301" s="25"/>
    </row>
    <row r="302" spans="80:82" ht="14.25">
      <c r="CB302" s="25"/>
      <c r="CC302" s="25"/>
      <c r="CD302" s="25"/>
    </row>
    <row r="303" spans="80:82" ht="14.25">
      <c r="CB303" s="25"/>
      <c r="CC303" s="25"/>
      <c r="CD303" s="25"/>
    </row>
    <row r="304" spans="80:82" ht="14.25">
      <c r="CB304" s="25"/>
      <c r="CC304" s="25"/>
      <c r="CD304" s="25"/>
    </row>
    <row r="305" spans="80:82" ht="14.25">
      <c r="CB305" s="25"/>
      <c r="CC305" s="25"/>
      <c r="CD305" s="25"/>
    </row>
    <row r="306" spans="80:82" ht="14.25">
      <c r="CB306" s="25"/>
      <c r="CC306" s="25"/>
      <c r="CD306" s="25"/>
    </row>
    <row r="307" spans="80:82" ht="14.25">
      <c r="CB307" s="25"/>
      <c r="CC307" s="25"/>
      <c r="CD307" s="25"/>
    </row>
    <row r="308" spans="80:82" ht="14.25">
      <c r="CB308" s="25"/>
      <c r="CC308" s="25"/>
      <c r="CD308" s="25"/>
    </row>
    <row r="309" spans="80:82" ht="14.25">
      <c r="CB309" s="25"/>
      <c r="CC309" s="25"/>
      <c r="CD309" s="25"/>
    </row>
    <row r="310" spans="80:82" ht="14.25">
      <c r="CB310" s="25"/>
      <c r="CC310" s="25"/>
      <c r="CD310" s="25"/>
    </row>
    <row r="311" spans="80:82" ht="14.25">
      <c r="CB311" s="25"/>
      <c r="CC311" s="25"/>
      <c r="CD311" s="25"/>
    </row>
    <row r="312" spans="80:82" ht="14.25">
      <c r="CB312" s="25"/>
      <c r="CC312" s="25"/>
      <c r="CD312" s="25"/>
    </row>
    <row r="313" spans="80:82" ht="14.25">
      <c r="CB313" s="25"/>
      <c r="CC313" s="25"/>
      <c r="CD313" s="25"/>
    </row>
    <row r="314" spans="80:82" ht="14.25">
      <c r="CB314" s="25"/>
      <c r="CC314" s="25"/>
      <c r="CD314" s="25"/>
    </row>
    <row r="315" spans="80:82" ht="14.25">
      <c r="CB315" s="25"/>
      <c r="CC315" s="25"/>
      <c r="CD315" s="25"/>
    </row>
    <row r="316" spans="80:82" ht="14.25">
      <c r="CB316" s="25"/>
      <c r="CC316" s="25"/>
      <c r="CD316" s="25"/>
    </row>
    <row r="317" spans="80:82" ht="14.25">
      <c r="CB317" s="25"/>
      <c r="CC317" s="25"/>
      <c r="CD317" s="25"/>
    </row>
    <row r="318" spans="80:82" ht="14.25">
      <c r="CB318" s="25"/>
      <c r="CC318" s="25"/>
      <c r="CD318" s="25"/>
    </row>
    <row r="319" spans="80:82" ht="14.25">
      <c r="CB319" s="25"/>
      <c r="CC319" s="25"/>
      <c r="CD319" s="25"/>
    </row>
    <row r="320" spans="80:82" ht="14.25">
      <c r="CB320" s="25"/>
      <c r="CC320" s="25"/>
      <c r="CD320" s="25"/>
    </row>
    <row r="321" spans="80:82" ht="14.25">
      <c r="CB321" s="25"/>
      <c r="CC321" s="25"/>
      <c r="CD321" s="25"/>
    </row>
    <row r="322" spans="80:82" ht="14.25">
      <c r="CB322" s="25"/>
      <c r="CC322" s="25"/>
      <c r="CD322" s="25"/>
    </row>
    <row r="323" spans="80:82" ht="14.25">
      <c r="CB323" s="25"/>
      <c r="CC323" s="25"/>
      <c r="CD323" s="25"/>
    </row>
    <row r="324" spans="80:82" ht="14.25">
      <c r="CB324" s="25"/>
      <c r="CC324" s="25"/>
      <c r="CD324" s="25"/>
    </row>
    <row r="325" spans="80:82" ht="14.25">
      <c r="CB325" s="25"/>
      <c r="CC325" s="25"/>
      <c r="CD325" s="25"/>
    </row>
    <row r="326" spans="80:82" ht="14.25">
      <c r="CB326" s="25"/>
      <c r="CC326" s="25"/>
      <c r="CD326" s="25"/>
    </row>
    <row r="327" spans="80:82" ht="14.25">
      <c r="CB327" s="25"/>
      <c r="CC327" s="25"/>
      <c r="CD327" s="25"/>
    </row>
    <row r="328" spans="80:82" ht="14.25">
      <c r="CB328" s="25"/>
      <c r="CC328" s="25"/>
      <c r="CD328" s="25"/>
    </row>
    <row r="329" spans="80:82" ht="14.25">
      <c r="CB329" s="25"/>
      <c r="CC329" s="25"/>
      <c r="CD329" s="25"/>
    </row>
    <row r="330" spans="80:82" ht="14.25">
      <c r="CB330" s="25"/>
      <c r="CC330" s="25"/>
      <c r="CD330" s="25"/>
    </row>
    <row r="331" spans="80:82" ht="14.25">
      <c r="CB331" s="25"/>
      <c r="CC331" s="25"/>
      <c r="CD331" s="25"/>
    </row>
    <row r="332" spans="80:82" ht="14.25">
      <c r="CB332" s="25"/>
      <c r="CC332" s="25"/>
      <c r="CD332" s="25"/>
    </row>
    <row r="333" spans="80:82" ht="14.25">
      <c r="CB333" s="25"/>
      <c r="CC333" s="25"/>
      <c r="CD333" s="25"/>
    </row>
    <row r="334" spans="80:82" ht="14.25">
      <c r="CB334" s="25"/>
      <c r="CC334" s="25"/>
      <c r="CD334" s="25"/>
    </row>
    <row r="335" spans="80:82" ht="14.25">
      <c r="CB335" s="25"/>
      <c r="CC335" s="25"/>
      <c r="CD335" s="25"/>
    </row>
    <row r="336" spans="80:82" ht="14.25">
      <c r="CB336" s="25"/>
      <c r="CC336" s="25"/>
      <c r="CD336" s="25"/>
    </row>
    <row r="337" spans="80:82" ht="14.25">
      <c r="CB337" s="25"/>
      <c r="CC337" s="25"/>
      <c r="CD337" s="25"/>
    </row>
    <row r="338" spans="80:82" ht="14.25">
      <c r="CB338" s="25"/>
      <c r="CC338" s="25"/>
      <c r="CD338" s="25"/>
    </row>
    <row r="339" spans="80:82" ht="14.25">
      <c r="CB339" s="25"/>
      <c r="CC339" s="25"/>
      <c r="CD339" s="25"/>
    </row>
    <row r="340" spans="80:82" ht="14.25">
      <c r="CB340" s="25"/>
      <c r="CC340" s="25"/>
      <c r="CD340" s="25"/>
    </row>
    <row r="341" spans="80:82" ht="14.25">
      <c r="CB341" s="25"/>
      <c r="CC341" s="25"/>
      <c r="CD341" s="25"/>
    </row>
    <row r="342" spans="80:82" ht="14.25">
      <c r="CB342" s="25"/>
      <c r="CC342" s="25"/>
      <c r="CD342" s="25"/>
    </row>
    <row r="343" spans="80:82" ht="14.25">
      <c r="CB343" s="25"/>
      <c r="CC343" s="25"/>
      <c r="CD343" s="25"/>
    </row>
    <row r="344" spans="80:82" ht="14.25">
      <c r="CB344" s="25"/>
      <c r="CC344" s="25"/>
      <c r="CD344" s="25"/>
    </row>
    <row r="345" spans="80:82" ht="14.25">
      <c r="CB345" s="25"/>
      <c r="CC345" s="25"/>
      <c r="CD345" s="25"/>
    </row>
    <row r="346" spans="80:82" ht="14.25">
      <c r="CB346" s="25"/>
      <c r="CC346" s="25"/>
      <c r="CD346" s="25"/>
    </row>
    <row r="347" spans="80:82" ht="14.25">
      <c r="CB347" s="25"/>
      <c r="CC347" s="25"/>
      <c r="CD347" s="25"/>
    </row>
    <row r="348" spans="80:82" ht="14.25">
      <c r="CB348" s="25"/>
      <c r="CC348" s="25"/>
      <c r="CD348" s="25"/>
    </row>
    <row r="349" spans="80:82" ht="14.25">
      <c r="CB349" s="25"/>
      <c r="CC349" s="25"/>
      <c r="CD349" s="25"/>
    </row>
    <row r="350" spans="80:82" ht="14.25">
      <c r="CB350" s="25"/>
      <c r="CC350" s="25"/>
      <c r="CD350" s="25"/>
    </row>
    <row r="351" spans="80:82" ht="14.25">
      <c r="CB351" s="25"/>
      <c r="CC351" s="25"/>
      <c r="CD351" s="25"/>
    </row>
    <row r="352" spans="80:82" ht="14.25">
      <c r="CB352" s="25"/>
      <c r="CC352" s="25"/>
      <c r="CD352" s="25"/>
    </row>
    <row r="353" spans="80:82" ht="14.25">
      <c r="CB353" s="25"/>
      <c r="CC353" s="25"/>
      <c r="CD353" s="25"/>
    </row>
    <row r="354" spans="80:82" ht="14.25">
      <c r="CB354" s="25"/>
      <c r="CC354" s="25"/>
      <c r="CD354" s="25"/>
    </row>
    <row r="355" spans="80:82" ht="14.25">
      <c r="CB355" s="25"/>
      <c r="CC355" s="25"/>
      <c r="CD355" s="25"/>
    </row>
    <row r="356" spans="80:82" ht="14.25">
      <c r="CB356" s="25"/>
      <c r="CC356" s="25"/>
      <c r="CD356" s="25"/>
    </row>
    <row r="357" spans="80:82" ht="14.25">
      <c r="CB357" s="25"/>
      <c r="CC357" s="25"/>
      <c r="CD357" s="25"/>
    </row>
    <row r="358" spans="80:82" ht="14.25">
      <c r="CB358" s="25"/>
      <c r="CC358" s="25"/>
      <c r="CD358" s="25"/>
    </row>
    <row r="359" spans="80:82" ht="14.25">
      <c r="CB359" s="25"/>
      <c r="CC359" s="25"/>
      <c r="CD359" s="25"/>
    </row>
    <row r="360" spans="80:82" ht="14.25">
      <c r="CB360" s="25"/>
      <c r="CC360" s="25"/>
      <c r="CD360" s="25"/>
    </row>
    <row r="361" spans="80:82" ht="14.25">
      <c r="CB361" s="25"/>
      <c r="CC361" s="25"/>
      <c r="CD361" s="25"/>
    </row>
    <row r="362" spans="80:82" ht="14.25">
      <c r="CB362" s="25"/>
      <c r="CC362" s="25"/>
      <c r="CD362" s="25"/>
    </row>
    <row r="363" spans="80:82" ht="14.25">
      <c r="CB363" s="25"/>
      <c r="CC363" s="25"/>
      <c r="CD363" s="25"/>
    </row>
    <row r="364" spans="80:82" ht="14.25">
      <c r="CB364" s="25"/>
      <c r="CC364" s="25"/>
      <c r="CD364" s="25"/>
    </row>
    <row r="365" spans="80:82" ht="14.25">
      <c r="CB365" s="25"/>
      <c r="CC365" s="25"/>
      <c r="CD365" s="25"/>
    </row>
    <row r="366" spans="80:82" ht="14.25">
      <c r="CB366" s="25"/>
      <c r="CC366" s="25"/>
      <c r="CD366" s="25"/>
    </row>
    <row r="367" spans="80:82" ht="14.25">
      <c r="CB367" s="25"/>
      <c r="CC367" s="25"/>
      <c r="CD367" s="25"/>
    </row>
    <row r="368" spans="80:82" ht="14.25">
      <c r="CB368" s="25"/>
      <c r="CC368" s="25"/>
      <c r="CD368" s="25"/>
    </row>
    <row r="369" spans="80:82" ht="14.25">
      <c r="CB369" s="25"/>
      <c r="CC369" s="25"/>
      <c r="CD369" s="25"/>
    </row>
    <row r="370" spans="80:82" ht="14.25">
      <c r="CB370" s="25"/>
      <c r="CC370" s="25"/>
      <c r="CD370" s="25"/>
    </row>
    <row r="371" spans="80:82" ht="14.25">
      <c r="CB371" s="25"/>
      <c r="CC371" s="25"/>
      <c r="CD371" s="25"/>
    </row>
    <row r="372" spans="80:82" ht="14.25">
      <c r="CB372" s="25"/>
      <c r="CC372" s="25"/>
      <c r="CD372" s="25"/>
    </row>
    <row r="373" spans="80:82" ht="14.25">
      <c r="CB373" s="25"/>
      <c r="CC373" s="25"/>
      <c r="CD373" s="25"/>
    </row>
    <row r="374" spans="80:82" ht="14.25">
      <c r="CB374" s="25"/>
      <c r="CC374" s="25"/>
      <c r="CD374" s="25"/>
    </row>
    <row r="375" spans="80:82" ht="14.25">
      <c r="CB375" s="25"/>
      <c r="CC375" s="25"/>
      <c r="CD375" s="25"/>
    </row>
    <row r="376" spans="80:82" ht="14.25">
      <c r="CB376" s="25"/>
      <c r="CC376" s="25"/>
      <c r="CD376" s="25"/>
    </row>
    <row r="377" spans="80:82" ht="14.25">
      <c r="CB377" s="25"/>
      <c r="CC377" s="25"/>
      <c r="CD377" s="25"/>
    </row>
    <row r="378" spans="80:82" ht="14.25">
      <c r="CB378" s="25"/>
      <c r="CC378" s="25"/>
      <c r="CD378" s="25"/>
    </row>
    <row r="379" spans="80:82" ht="14.25">
      <c r="CB379" s="25"/>
      <c r="CC379" s="25"/>
      <c r="CD379" s="25"/>
    </row>
    <row r="380" spans="80:82" ht="14.25">
      <c r="CB380" s="25"/>
      <c r="CC380" s="25"/>
      <c r="CD380" s="25"/>
    </row>
  </sheetData>
  <printOptions/>
  <pageMargins left="0.29" right="0.24" top="1" bottom="1" header="0.5" footer="0.5"/>
  <pageSetup fitToHeight="1" fitToWidth="1" horizontalDpi="600" verticalDpi="600" orientation="landscape" scale="71" r:id="rId2"/>
  <drawing r:id="rId1"/>
</worksheet>
</file>

<file path=xl/worksheets/sheet13.xml><?xml version="1.0" encoding="utf-8"?>
<worksheet xmlns="http://schemas.openxmlformats.org/spreadsheetml/2006/main" xmlns:r="http://schemas.openxmlformats.org/officeDocument/2006/relationships">
  <dimension ref="A1:AK81"/>
  <sheetViews>
    <sheetView zoomScale="75" zoomScaleNormal="75" workbookViewId="0" topLeftCell="A1">
      <selection activeCell="D40" sqref="D40:L44"/>
    </sheetView>
  </sheetViews>
  <sheetFormatPr defaultColWidth="9.140625" defaultRowHeight="12.75"/>
  <cols>
    <col min="3" max="3" width="18.28125" style="0" customWidth="1"/>
    <col min="4" max="4" width="25.8515625" style="0" customWidth="1"/>
    <col min="5" max="11" width="18.28125" style="0" customWidth="1"/>
    <col min="12" max="12" width="17.421875" style="0" customWidth="1"/>
    <col min="13" max="15" width="18.28125" style="0" customWidth="1"/>
  </cols>
  <sheetData>
    <row r="1" spans="1:17" ht="12.75">
      <c r="A1" s="2"/>
      <c r="B1" s="2"/>
      <c r="C1" s="2"/>
      <c r="D1" s="2"/>
      <c r="E1" s="2"/>
      <c r="F1" s="2"/>
      <c r="G1" s="2"/>
      <c r="H1" s="2"/>
      <c r="I1" s="2"/>
      <c r="J1" s="2"/>
      <c r="K1" s="2"/>
      <c r="L1" s="2"/>
      <c r="M1" s="2"/>
      <c r="N1" s="2"/>
      <c r="O1" s="2"/>
      <c r="P1" s="2"/>
      <c r="Q1" s="2"/>
    </row>
    <row r="2" spans="1:17" ht="12.75">
      <c r="A2" s="2"/>
      <c r="B2" s="2"/>
      <c r="C2" s="2"/>
      <c r="D2" s="2"/>
      <c r="E2" s="2"/>
      <c r="F2" s="2"/>
      <c r="G2" s="2"/>
      <c r="H2" s="2"/>
      <c r="I2" s="2"/>
      <c r="J2" s="2"/>
      <c r="K2" s="2"/>
      <c r="L2" s="2"/>
      <c r="M2" s="2"/>
      <c r="N2" s="2"/>
      <c r="O2" s="2"/>
      <c r="P2" s="2"/>
      <c r="Q2" s="2"/>
    </row>
    <row r="3" spans="1:17" ht="12.75">
      <c r="A3" s="2"/>
      <c r="B3" s="2"/>
      <c r="C3" s="2"/>
      <c r="D3" s="2"/>
      <c r="E3" s="2"/>
      <c r="F3" s="2"/>
      <c r="G3" s="2"/>
      <c r="H3" s="2"/>
      <c r="I3" s="2"/>
      <c r="J3" s="2"/>
      <c r="K3" s="2"/>
      <c r="L3" s="2"/>
      <c r="M3" s="2"/>
      <c r="N3" s="2"/>
      <c r="O3" s="2"/>
      <c r="P3" s="2"/>
      <c r="Q3" s="2"/>
    </row>
    <row r="4" spans="1:17" ht="12.75">
      <c r="A4" s="2"/>
      <c r="B4" s="2"/>
      <c r="C4" s="2"/>
      <c r="D4" s="2"/>
      <c r="E4" s="2"/>
      <c r="F4" s="2"/>
      <c r="G4" s="2"/>
      <c r="H4" s="2"/>
      <c r="I4" s="2"/>
      <c r="J4" s="2" t="s">
        <v>116</v>
      </c>
      <c r="K4" s="2"/>
      <c r="L4" s="2"/>
      <c r="M4" s="2"/>
      <c r="N4" s="2"/>
      <c r="O4" s="2"/>
      <c r="P4" s="2"/>
      <c r="Q4" s="2"/>
    </row>
    <row r="5" spans="1:17" ht="12.75">
      <c r="A5" s="2"/>
      <c r="B5" s="2" t="s">
        <v>118</v>
      </c>
      <c r="C5" s="8">
        <v>7.9</v>
      </c>
      <c r="D5" s="8">
        <v>15.83</v>
      </c>
      <c r="E5" s="8">
        <v>15.84</v>
      </c>
      <c r="F5" s="8">
        <v>22.14</v>
      </c>
      <c r="G5" s="8">
        <v>19.42</v>
      </c>
      <c r="H5" s="8">
        <v>5.2</v>
      </c>
      <c r="I5" s="8"/>
      <c r="J5" s="8">
        <f>SUM(C5:I5)</f>
        <v>86.33</v>
      </c>
      <c r="K5" s="2"/>
      <c r="L5" s="2"/>
      <c r="M5" s="2"/>
      <c r="N5" s="2"/>
      <c r="O5" s="2"/>
      <c r="P5" s="2"/>
      <c r="Q5" s="2"/>
    </row>
    <row r="6" spans="1:17" ht="12.75">
      <c r="A6" s="2"/>
      <c r="B6" s="2" t="s">
        <v>119</v>
      </c>
      <c r="C6" s="8">
        <v>7.9</v>
      </c>
      <c r="D6" s="8">
        <v>15.83</v>
      </c>
      <c r="E6" s="8">
        <f>15.8+1.7</f>
        <v>17.5</v>
      </c>
      <c r="F6" s="8">
        <v>15.9</v>
      </c>
      <c r="G6" s="8">
        <v>15.9</v>
      </c>
      <c r="H6" s="8">
        <v>15.9</v>
      </c>
      <c r="I6" s="8">
        <v>5.199</v>
      </c>
      <c r="J6" s="8">
        <f>SUM(C6:I6)</f>
        <v>94.129</v>
      </c>
      <c r="K6" s="2"/>
      <c r="L6" s="2"/>
      <c r="M6" s="2"/>
      <c r="N6" s="2"/>
      <c r="O6" s="2"/>
      <c r="P6" s="2"/>
      <c r="Q6" s="2"/>
    </row>
    <row r="7" spans="1:17" ht="12.75">
      <c r="A7" s="2"/>
      <c r="B7" s="2" t="s">
        <v>115</v>
      </c>
      <c r="C7" s="8">
        <v>6.062</v>
      </c>
      <c r="D7" s="8">
        <v>13.658</v>
      </c>
      <c r="E7" s="8">
        <v>18.238</v>
      </c>
      <c r="F7" s="8">
        <v>15.425</v>
      </c>
      <c r="G7" s="8">
        <v>13.289</v>
      </c>
      <c r="H7" s="8">
        <v>12.748</v>
      </c>
      <c r="I7" s="8">
        <v>2.466</v>
      </c>
      <c r="J7" s="8">
        <f>SUM(C7:I7)</f>
        <v>81.886</v>
      </c>
      <c r="K7" s="2"/>
      <c r="L7" s="2"/>
      <c r="M7" s="2"/>
      <c r="N7" s="2"/>
      <c r="O7" s="2"/>
      <c r="P7" s="2"/>
      <c r="Q7" s="2"/>
    </row>
    <row r="8" spans="1:17" ht="12.75">
      <c r="A8" s="2"/>
      <c r="B8" s="2" t="s">
        <v>90</v>
      </c>
      <c r="C8" s="8"/>
      <c r="D8" s="8"/>
      <c r="E8" s="8">
        <v>0.8</v>
      </c>
      <c r="F8" s="8">
        <v>3</v>
      </c>
      <c r="G8" s="8">
        <v>2.6</v>
      </c>
      <c r="H8" s="8">
        <v>3.1</v>
      </c>
      <c r="I8" s="8">
        <v>2.742</v>
      </c>
      <c r="J8" s="8">
        <f>SUM(C8:I8)</f>
        <v>12.242</v>
      </c>
      <c r="K8" s="2"/>
      <c r="L8" s="2"/>
      <c r="M8" s="2"/>
      <c r="N8" s="2"/>
      <c r="O8" s="2"/>
      <c r="P8" s="2"/>
      <c r="Q8" s="2"/>
    </row>
    <row r="9" spans="1:17" ht="12.75">
      <c r="A9" s="2"/>
      <c r="B9" s="2" t="s">
        <v>120</v>
      </c>
      <c r="C9" s="8">
        <f>+C5</f>
        <v>7.9</v>
      </c>
      <c r="D9" s="8">
        <f>+C9+D5</f>
        <v>23.73</v>
      </c>
      <c r="E9" s="8">
        <f>+D9+E5</f>
        <v>39.57</v>
      </c>
      <c r="F9" s="8">
        <f>+E9+F5</f>
        <v>61.71</v>
      </c>
      <c r="G9" s="8">
        <f>+F9+G5</f>
        <v>81.13</v>
      </c>
      <c r="H9" s="8">
        <f>+G9+H5</f>
        <v>86.33</v>
      </c>
      <c r="I9" s="9">
        <f>+H9</f>
        <v>86.33</v>
      </c>
      <c r="J9" s="8"/>
      <c r="K9" s="2"/>
      <c r="L9" s="2"/>
      <c r="M9" s="2"/>
      <c r="N9" s="2"/>
      <c r="O9" s="2"/>
      <c r="P9" s="2"/>
      <c r="Q9" s="2"/>
    </row>
    <row r="10" spans="1:17" ht="12.75">
      <c r="A10" s="2"/>
      <c r="B10" s="2" t="s">
        <v>121</v>
      </c>
      <c r="C10" s="10">
        <f>+C6</f>
        <v>7.9</v>
      </c>
      <c r="D10" s="10">
        <f aca="true" t="shared" si="0" ref="D10:I11">+C10+D6</f>
        <v>23.73</v>
      </c>
      <c r="E10" s="10">
        <f t="shared" si="0"/>
        <v>41.230000000000004</v>
      </c>
      <c r="F10" s="10">
        <f t="shared" si="0"/>
        <v>57.13</v>
      </c>
      <c r="G10" s="10">
        <f t="shared" si="0"/>
        <v>73.03</v>
      </c>
      <c r="H10" s="10">
        <f t="shared" si="0"/>
        <v>88.93</v>
      </c>
      <c r="I10" s="10">
        <f t="shared" si="0"/>
        <v>94.129</v>
      </c>
      <c r="J10" s="8"/>
      <c r="K10" s="2"/>
      <c r="L10" s="2"/>
      <c r="M10" s="2"/>
      <c r="N10" s="2"/>
      <c r="O10" s="2"/>
      <c r="P10" s="2"/>
      <c r="Q10" s="2"/>
    </row>
    <row r="11" spans="1:17" ht="12.75">
      <c r="A11" s="2"/>
      <c r="B11" s="2" t="s">
        <v>122</v>
      </c>
      <c r="C11" s="10">
        <f>+C7</f>
        <v>6.062</v>
      </c>
      <c r="D11" s="10">
        <f t="shared" si="0"/>
        <v>19.72</v>
      </c>
      <c r="E11" s="10">
        <f t="shared" si="0"/>
        <v>37.958</v>
      </c>
      <c r="F11" s="10">
        <f t="shared" si="0"/>
        <v>53.382999999999996</v>
      </c>
      <c r="G11" s="10">
        <f t="shared" si="0"/>
        <v>66.672</v>
      </c>
      <c r="H11" s="10">
        <f t="shared" si="0"/>
        <v>79.42</v>
      </c>
      <c r="I11" s="10">
        <f t="shared" si="0"/>
        <v>81.886</v>
      </c>
      <c r="J11" s="8"/>
      <c r="K11" s="2"/>
      <c r="L11" s="2"/>
      <c r="M11" s="2"/>
      <c r="N11" s="2"/>
      <c r="O11" s="2"/>
      <c r="P11" s="2"/>
      <c r="Q11" s="2"/>
    </row>
    <row r="12" spans="1:17" ht="12.75">
      <c r="A12" s="2"/>
      <c r="B12" s="2"/>
      <c r="C12" s="2"/>
      <c r="D12" s="2"/>
      <c r="E12" s="2"/>
      <c r="F12" s="2"/>
      <c r="G12" s="2"/>
      <c r="H12" s="2"/>
      <c r="I12" s="2"/>
      <c r="J12" s="2"/>
      <c r="K12" s="2"/>
      <c r="L12" s="2"/>
      <c r="M12" s="2"/>
      <c r="N12" s="2"/>
      <c r="O12" s="2"/>
      <c r="P12" s="2"/>
      <c r="Q12" s="2"/>
    </row>
    <row r="13" spans="1:17" ht="12.75">
      <c r="A13" s="2"/>
      <c r="B13" s="2"/>
      <c r="C13" s="2"/>
      <c r="D13" s="2"/>
      <c r="E13" s="2"/>
      <c r="F13" s="2"/>
      <c r="G13" s="2"/>
      <c r="H13" s="2"/>
      <c r="I13" s="2"/>
      <c r="J13" s="2"/>
      <c r="K13" s="2"/>
      <c r="L13" s="2"/>
      <c r="M13" s="2"/>
      <c r="N13" s="2"/>
      <c r="O13" s="2"/>
      <c r="P13" s="2"/>
      <c r="Q13" s="2"/>
    </row>
    <row r="14" spans="1:17" ht="12.75">
      <c r="A14" s="2"/>
      <c r="B14" s="2"/>
      <c r="C14" s="2"/>
      <c r="D14" s="2"/>
      <c r="E14" s="2"/>
      <c r="F14" s="2" t="s">
        <v>77</v>
      </c>
      <c r="G14" s="2"/>
      <c r="H14" s="2"/>
      <c r="I14" s="2"/>
      <c r="J14" s="2"/>
      <c r="K14" s="2"/>
      <c r="L14" s="2"/>
      <c r="M14" s="2"/>
      <c r="N14" s="2"/>
      <c r="O14" s="2"/>
      <c r="P14" s="2"/>
      <c r="Q14" s="2"/>
    </row>
    <row r="15" spans="1:17" ht="12.75">
      <c r="A15" s="2"/>
      <c r="B15" s="2"/>
      <c r="C15" s="2"/>
      <c r="D15" s="2"/>
      <c r="E15" s="2"/>
      <c r="F15" s="2"/>
      <c r="G15" s="2"/>
      <c r="H15" s="2"/>
      <c r="I15" s="2"/>
      <c r="J15" s="2"/>
      <c r="K15" s="2"/>
      <c r="L15" s="2"/>
      <c r="M15" s="2"/>
      <c r="N15" s="2"/>
      <c r="O15" s="2"/>
      <c r="P15" s="2"/>
      <c r="Q15" s="2"/>
    </row>
    <row r="16" spans="1:17" ht="12.75">
      <c r="A16" s="2"/>
      <c r="B16" s="2"/>
      <c r="C16" s="2"/>
      <c r="D16" s="2"/>
      <c r="E16" s="2"/>
      <c r="F16" s="2"/>
      <c r="G16" s="2"/>
      <c r="H16" s="2"/>
      <c r="I16" s="2"/>
      <c r="J16" s="2"/>
      <c r="K16" s="2"/>
      <c r="L16" s="2"/>
      <c r="M16" s="2"/>
      <c r="N16" s="2"/>
      <c r="O16" s="2"/>
      <c r="P16" s="2"/>
      <c r="Q16" s="2"/>
    </row>
    <row r="17" spans="1:17" ht="19.5" customHeight="1">
      <c r="A17" s="2"/>
      <c r="B17" s="2"/>
      <c r="C17" s="2"/>
      <c r="D17" s="2"/>
      <c r="E17" s="2"/>
      <c r="F17" s="2"/>
      <c r="G17" s="2"/>
      <c r="H17" s="2"/>
      <c r="I17" s="2"/>
      <c r="J17" s="2"/>
      <c r="K17" s="2"/>
      <c r="L17" s="2"/>
      <c r="M17" s="2"/>
      <c r="N17" s="2"/>
      <c r="O17" s="2"/>
      <c r="P17" s="2"/>
      <c r="Q17" s="2"/>
    </row>
    <row r="18" spans="1:17" ht="19.5" customHeight="1">
      <c r="A18" s="2"/>
      <c r="B18" s="2"/>
      <c r="C18" s="2"/>
      <c r="D18" s="2"/>
      <c r="E18" s="2"/>
      <c r="F18" s="2"/>
      <c r="G18" s="2"/>
      <c r="H18" s="2"/>
      <c r="I18" s="2"/>
      <c r="J18" s="2"/>
      <c r="K18" s="2"/>
      <c r="L18" s="2"/>
      <c r="M18" s="2"/>
      <c r="N18" s="2"/>
      <c r="O18" s="2"/>
      <c r="P18" s="2"/>
      <c r="Q18" s="2"/>
    </row>
    <row r="19" spans="1:17" ht="19.5" customHeight="1">
      <c r="A19" s="2"/>
      <c r="B19" s="2"/>
      <c r="C19" s="2"/>
      <c r="D19" s="2"/>
      <c r="E19" s="2"/>
      <c r="F19" s="2"/>
      <c r="G19" s="2"/>
      <c r="H19" s="2"/>
      <c r="I19" s="2"/>
      <c r="J19" s="2"/>
      <c r="K19" s="2"/>
      <c r="L19" s="2"/>
      <c r="M19" s="2"/>
      <c r="N19" s="2"/>
      <c r="O19" s="2"/>
      <c r="P19" s="2"/>
      <c r="Q19" s="2"/>
    </row>
    <row r="20" spans="1:17" ht="19.5" customHeight="1">
      <c r="A20" s="2"/>
      <c r="B20" s="2"/>
      <c r="C20" s="2"/>
      <c r="D20" s="2"/>
      <c r="E20" s="2"/>
      <c r="F20" s="2"/>
      <c r="G20" s="2"/>
      <c r="H20" s="2"/>
      <c r="I20" s="2"/>
      <c r="J20" s="2"/>
      <c r="K20" s="2"/>
      <c r="L20" s="2"/>
      <c r="M20" s="2"/>
      <c r="N20" s="2"/>
      <c r="O20" s="2"/>
      <c r="P20" s="2"/>
      <c r="Q20" s="2"/>
    </row>
    <row r="21" spans="1:17" ht="19.5" customHeight="1">
      <c r="A21" s="2"/>
      <c r="B21" s="2"/>
      <c r="C21" s="2"/>
      <c r="D21" s="2"/>
      <c r="E21" s="2"/>
      <c r="F21" s="2"/>
      <c r="G21" s="2"/>
      <c r="H21" s="2"/>
      <c r="I21" s="2"/>
      <c r="J21" s="2"/>
      <c r="K21" s="2"/>
      <c r="L21" s="2"/>
      <c r="M21" s="2"/>
      <c r="N21" s="2"/>
      <c r="O21" s="2"/>
      <c r="P21" s="2"/>
      <c r="Q21" s="2"/>
    </row>
    <row r="22" spans="1:17" ht="19.5" customHeight="1">
      <c r="A22" s="2"/>
      <c r="B22" s="11"/>
      <c r="C22" s="2"/>
      <c r="D22" s="2"/>
      <c r="E22" s="2"/>
      <c r="F22" s="2"/>
      <c r="G22" s="2"/>
      <c r="H22" s="2"/>
      <c r="I22" s="2"/>
      <c r="J22" s="2"/>
      <c r="K22" s="2"/>
      <c r="L22" s="2"/>
      <c r="M22" s="2"/>
      <c r="N22" s="2"/>
      <c r="O22" s="2"/>
      <c r="P22" s="2"/>
      <c r="Q22" s="2"/>
    </row>
    <row r="23" spans="1:17" ht="19.5" customHeight="1">
      <c r="A23" s="2"/>
      <c r="B23" s="11"/>
      <c r="C23" s="2"/>
      <c r="D23" s="2"/>
      <c r="E23" s="2"/>
      <c r="F23" s="2"/>
      <c r="G23" s="2"/>
      <c r="H23" s="2"/>
      <c r="I23" s="2"/>
      <c r="J23" s="2"/>
      <c r="K23" s="2"/>
      <c r="L23" s="2"/>
      <c r="M23" s="2"/>
      <c r="N23" s="2"/>
      <c r="O23" s="2"/>
      <c r="P23" s="2"/>
      <c r="Q23" s="2"/>
    </row>
    <row r="24" spans="1:17" ht="19.5" customHeight="1">
      <c r="A24" s="11" t="s">
        <v>117</v>
      </c>
      <c r="B24" s="2"/>
      <c r="C24" s="2"/>
      <c r="D24" s="2"/>
      <c r="E24" s="2"/>
      <c r="F24" s="2"/>
      <c r="G24" s="2"/>
      <c r="H24" s="2"/>
      <c r="I24" s="2"/>
      <c r="J24" s="2"/>
      <c r="K24" s="2"/>
      <c r="L24" s="2"/>
      <c r="M24" s="2"/>
      <c r="N24" s="2"/>
      <c r="O24" s="2"/>
      <c r="P24" s="2"/>
      <c r="Q24" s="2"/>
    </row>
    <row r="25" spans="1:17" ht="19.5" customHeight="1">
      <c r="A25" s="2"/>
      <c r="B25" s="2"/>
      <c r="C25" s="12"/>
      <c r="D25" s="2"/>
      <c r="E25" s="2"/>
      <c r="F25" s="2"/>
      <c r="G25" s="2"/>
      <c r="H25" s="2"/>
      <c r="I25" s="2"/>
      <c r="J25" s="2"/>
      <c r="K25" s="2"/>
      <c r="L25" s="2"/>
      <c r="M25" s="2"/>
      <c r="N25" s="2"/>
      <c r="O25" s="2"/>
      <c r="P25" s="2"/>
      <c r="Q25" s="2"/>
    </row>
    <row r="26" spans="1:17" ht="19.5" customHeight="1">
      <c r="A26" s="2"/>
      <c r="B26" s="2"/>
      <c r="C26" s="12"/>
      <c r="D26" s="2"/>
      <c r="E26" s="2"/>
      <c r="F26" s="2"/>
      <c r="G26" s="2"/>
      <c r="H26" s="2"/>
      <c r="I26" s="2"/>
      <c r="J26" s="2"/>
      <c r="K26" s="2"/>
      <c r="L26" s="2"/>
      <c r="M26" s="2"/>
      <c r="N26" s="2"/>
      <c r="O26" s="2"/>
      <c r="P26" s="2"/>
      <c r="Q26" s="2"/>
    </row>
    <row r="27" spans="1:17" ht="19.5" customHeight="1">
      <c r="A27" s="2"/>
      <c r="B27" s="2"/>
      <c r="C27" s="12"/>
      <c r="D27" s="2"/>
      <c r="E27" s="2"/>
      <c r="F27" s="2"/>
      <c r="G27" s="2"/>
      <c r="H27" s="2"/>
      <c r="I27" s="2"/>
      <c r="J27" s="2"/>
      <c r="K27" s="2"/>
      <c r="L27" s="2"/>
      <c r="M27" s="2"/>
      <c r="N27" s="2"/>
      <c r="O27" s="2"/>
      <c r="P27" s="2"/>
      <c r="Q27" s="2"/>
    </row>
    <row r="28" spans="1:17" ht="19.5" customHeight="1">
      <c r="A28" s="2"/>
      <c r="B28" s="2"/>
      <c r="C28" s="12"/>
      <c r="D28" s="2"/>
      <c r="E28" s="2"/>
      <c r="F28" s="2"/>
      <c r="G28" s="2"/>
      <c r="H28" s="2"/>
      <c r="I28" s="2"/>
      <c r="J28" s="2"/>
      <c r="K28" s="2"/>
      <c r="L28" s="2"/>
      <c r="M28" s="2"/>
      <c r="N28" s="2"/>
      <c r="O28" s="2"/>
      <c r="P28" s="2"/>
      <c r="Q28" s="2"/>
    </row>
    <row r="29" spans="1:17" ht="19.5" customHeight="1">
      <c r="A29" s="2"/>
      <c r="B29" s="2"/>
      <c r="C29" s="12"/>
      <c r="D29" s="2"/>
      <c r="E29" s="2"/>
      <c r="F29" s="2"/>
      <c r="G29" s="2"/>
      <c r="H29" s="2"/>
      <c r="I29" s="2"/>
      <c r="J29" s="2"/>
      <c r="K29" s="2"/>
      <c r="L29" s="2"/>
      <c r="M29" s="2"/>
      <c r="N29" s="2"/>
      <c r="O29" s="2"/>
      <c r="P29" s="2"/>
      <c r="Q29" s="2"/>
    </row>
    <row r="30" spans="1:17" ht="12.75">
      <c r="A30" s="2"/>
      <c r="B30" s="2"/>
      <c r="C30" s="12"/>
      <c r="D30" s="2"/>
      <c r="E30" s="2"/>
      <c r="F30" s="2"/>
      <c r="G30" s="2"/>
      <c r="H30" s="2"/>
      <c r="I30" s="2"/>
      <c r="J30" s="2"/>
      <c r="K30" s="2"/>
      <c r="L30" s="2"/>
      <c r="M30" s="2"/>
      <c r="N30" s="2"/>
      <c r="O30" s="2"/>
      <c r="P30" s="2"/>
      <c r="Q30" s="2"/>
    </row>
    <row r="31" spans="1:17" ht="12.75">
      <c r="A31" s="2"/>
      <c r="B31" s="2"/>
      <c r="C31" s="1"/>
      <c r="E31" s="2"/>
      <c r="F31" s="2"/>
      <c r="G31" s="2"/>
      <c r="H31" s="2"/>
      <c r="I31" s="2"/>
      <c r="J31" s="2"/>
      <c r="K31" s="2"/>
      <c r="L31" s="2"/>
      <c r="M31" s="2"/>
      <c r="N31" s="2"/>
      <c r="O31" s="2"/>
      <c r="P31" s="2"/>
      <c r="Q31" s="2"/>
    </row>
    <row r="32" spans="1:17" ht="12.75">
      <c r="A32" s="2"/>
      <c r="B32" s="2"/>
      <c r="C32" s="12"/>
      <c r="D32" s="2"/>
      <c r="E32" s="2"/>
      <c r="F32" s="2"/>
      <c r="G32" s="2"/>
      <c r="H32" s="2"/>
      <c r="I32" s="2"/>
      <c r="J32" s="2"/>
      <c r="K32" s="2"/>
      <c r="L32" s="2"/>
      <c r="M32" s="2"/>
      <c r="N32" s="2"/>
      <c r="O32" s="2"/>
      <c r="P32" s="2"/>
      <c r="Q32" s="2"/>
    </row>
    <row r="33" spans="1:17" ht="12.75">
      <c r="A33" s="2"/>
      <c r="B33" s="2"/>
      <c r="C33" s="12"/>
      <c r="D33" s="2"/>
      <c r="E33" s="2"/>
      <c r="F33" s="2"/>
      <c r="G33" s="2"/>
      <c r="H33" s="2"/>
      <c r="I33" s="2"/>
      <c r="J33" s="2"/>
      <c r="K33" s="2"/>
      <c r="L33" s="2"/>
      <c r="M33" s="2"/>
      <c r="N33" s="2"/>
      <c r="O33" s="2"/>
      <c r="P33" s="2"/>
      <c r="Q33" s="2"/>
    </row>
    <row r="34" spans="1:17" ht="12.75">
      <c r="A34" s="2"/>
      <c r="B34" s="2"/>
      <c r="C34" s="12"/>
      <c r="D34" s="2"/>
      <c r="E34" s="2"/>
      <c r="F34" s="2"/>
      <c r="G34" s="2"/>
      <c r="H34" s="2"/>
      <c r="I34" s="2"/>
      <c r="J34" s="2"/>
      <c r="K34" s="2"/>
      <c r="L34" s="2"/>
      <c r="M34" s="2"/>
      <c r="N34" s="2"/>
      <c r="O34" s="2"/>
      <c r="P34" s="2"/>
      <c r="Q34" s="2"/>
    </row>
    <row r="35" spans="1:17" ht="12.75">
      <c r="A35" s="11">
        <v>0.24801079386681524</v>
      </c>
      <c r="B35" s="2"/>
      <c r="C35" s="12"/>
      <c r="D35" s="12"/>
      <c r="E35" s="12"/>
      <c r="F35" s="2"/>
      <c r="G35" s="2"/>
      <c r="H35" s="2"/>
      <c r="I35" s="2"/>
      <c r="J35" s="2"/>
      <c r="K35" s="2"/>
      <c r="L35" s="2"/>
      <c r="M35" s="2"/>
      <c r="N35" s="2"/>
      <c r="O35" s="2"/>
      <c r="P35" s="2"/>
      <c r="Q35" s="2"/>
    </row>
    <row r="36" spans="1:17" ht="12.75">
      <c r="A36" s="12"/>
      <c r="B36" s="2"/>
      <c r="C36" s="12"/>
      <c r="D36" s="12"/>
      <c r="E36" s="12"/>
      <c r="F36" s="2"/>
      <c r="G36" s="2"/>
      <c r="H36" s="2"/>
      <c r="I36" s="2"/>
      <c r="J36" s="2"/>
      <c r="K36" s="2"/>
      <c r="L36" s="2"/>
      <c r="M36" s="2"/>
      <c r="N36" s="2"/>
      <c r="O36" s="2"/>
      <c r="P36" s="2"/>
      <c r="Q36" s="2"/>
    </row>
    <row r="37" spans="1:17" ht="12.75">
      <c r="A37" s="12"/>
      <c r="B37" s="2"/>
      <c r="C37" s="12"/>
      <c r="D37" s="12"/>
      <c r="E37" s="12"/>
      <c r="F37" s="2"/>
      <c r="G37" s="2"/>
      <c r="H37" s="2"/>
      <c r="I37" s="2"/>
      <c r="J37" s="2"/>
      <c r="K37" s="2"/>
      <c r="L37" s="2"/>
      <c r="M37" s="2"/>
      <c r="N37" s="2"/>
      <c r="O37" s="2"/>
      <c r="P37" s="2"/>
      <c r="Q37" s="2"/>
    </row>
    <row r="38" spans="1:17" ht="12.75">
      <c r="A38" s="12"/>
      <c r="B38" s="2"/>
      <c r="C38" s="12"/>
      <c r="D38" s="12"/>
      <c r="E38" s="12"/>
      <c r="F38" s="2"/>
      <c r="G38" s="2"/>
      <c r="H38" s="2"/>
      <c r="I38" s="2"/>
      <c r="J38" s="2"/>
      <c r="K38" s="2"/>
      <c r="L38" s="2"/>
      <c r="M38" s="2"/>
      <c r="N38" s="2"/>
      <c r="O38" s="2"/>
      <c r="P38" s="2"/>
      <c r="Q38" s="2"/>
    </row>
    <row r="39" spans="1:17" ht="13.5" thickBot="1">
      <c r="A39" s="12"/>
      <c r="B39" s="2"/>
      <c r="C39" s="12"/>
      <c r="D39" s="12"/>
      <c r="E39" s="12"/>
      <c r="F39" s="2"/>
      <c r="G39" s="2"/>
      <c r="H39" s="2"/>
      <c r="I39" s="2"/>
      <c r="J39" s="2"/>
      <c r="K39" s="2"/>
      <c r="L39" s="2"/>
      <c r="M39" s="2"/>
      <c r="N39" s="2"/>
      <c r="O39" s="2"/>
      <c r="P39" s="2"/>
      <c r="Q39" s="2"/>
    </row>
    <row r="40" spans="1:17" ht="20.25">
      <c r="A40" s="12"/>
      <c r="B40" s="2"/>
      <c r="C40" s="12"/>
      <c r="D40" s="475"/>
      <c r="E40" s="476" t="s">
        <v>77</v>
      </c>
      <c r="F40" s="476" t="s">
        <v>78</v>
      </c>
      <c r="G40" s="476" t="s">
        <v>79</v>
      </c>
      <c r="H40" s="476" t="s">
        <v>80</v>
      </c>
      <c r="I40" s="476" t="s">
        <v>81</v>
      </c>
      <c r="J40" s="476" t="s">
        <v>82</v>
      </c>
      <c r="K40" s="476" t="s">
        <v>83</v>
      </c>
      <c r="L40" s="477" t="s">
        <v>116</v>
      </c>
      <c r="M40" s="13"/>
      <c r="N40" s="2"/>
      <c r="O40" s="2"/>
      <c r="P40" s="2"/>
      <c r="Q40" s="2"/>
    </row>
    <row r="41" spans="1:17" ht="20.25">
      <c r="A41" s="12"/>
      <c r="B41" s="11">
        <v>0.22014308865035648</v>
      </c>
      <c r="C41" s="2"/>
      <c r="D41" s="478" t="s">
        <v>123</v>
      </c>
      <c r="E41" s="479">
        <v>7.897</v>
      </c>
      <c r="F41" s="479">
        <v>15.921</v>
      </c>
      <c r="G41" s="479">
        <f>15.8+1.7</f>
        <v>17.5</v>
      </c>
      <c r="H41" s="479">
        <v>17</v>
      </c>
      <c r="I41" s="479">
        <v>15.9</v>
      </c>
      <c r="J41" s="479">
        <v>15.9</v>
      </c>
      <c r="K41" s="479">
        <v>2.3</v>
      </c>
      <c r="L41" s="480">
        <f>SUM(E41:K41)</f>
        <v>92.418</v>
      </c>
      <c r="M41" s="13"/>
      <c r="N41" s="2"/>
      <c r="O41" s="2"/>
      <c r="P41" s="2"/>
      <c r="Q41" s="2"/>
    </row>
    <row r="42" spans="1:17" ht="20.25">
      <c r="A42" s="2"/>
      <c r="B42" s="11"/>
      <c r="C42" s="2"/>
      <c r="D42" s="481" t="s">
        <v>222</v>
      </c>
      <c r="E42" s="482">
        <v>5.9419</v>
      </c>
      <c r="F42" s="482">
        <v>14.239349</v>
      </c>
      <c r="G42" s="482">
        <f>18.162</f>
        <v>18.162</v>
      </c>
      <c r="H42" s="482">
        <v>19.2</v>
      </c>
      <c r="I42" s="482">
        <v>15.2</v>
      </c>
      <c r="J42" s="482">
        <v>12.4</v>
      </c>
      <c r="K42" s="482">
        <v>2.25</v>
      </c>
      <c r="L42" s="483">
        <f>SUM(E42:K42)</f>
        <v>87.39324900000001</v>
      </c>
      <c r="M42" s="14"/>
      <c r="N42" s="2"/>
      <c r="O42" s="2"/>
      <c r="P42" s="2"/>
      <c r="Q42" s="2"/>
    </row>
    <row r="43" spans="1:17" ht="20.25">
      <c r="A43" s="2"/>
      <c r="B43" s="11">
        <v>0.05</v>
      </c>
      <c r="C43" s="2"/>
      <c r="D43" s="484" t="s">
        <v>90</v>
      </c>
      <c r="E43" s="485"/>
      <c r="F43" s="485"/>
      <c r="G43" s="485"/>
      <c r="H43" s="485"/>
      <c r="I43" s="485">
        <v>1.4</v>
      </c>
      <c r="J43" s="485">
        <v>3.5</v>
      </c>
      <c r="K43" s="485">
        <v>0.132</v>
      </c>
      <c r="L43" s="486">
        <f>SUM(E43:K43)</f>
        <v>5.032</v>
      </c>
      <c r="M43" s="14"/>
      <c r="N43" s="2"/>
      <c r="O43" s="2"/>
      <c r="P43" s="2"/>
      <c r="Q43" s="2"/>
    </row>
    <row r="44" spans="1:17" ht="21" thickBot="1">
      <c r="A44" s="2"/>
      <c r="B44" s="11">
        <v>0.1</v>
      </c>
      <c r="C44" s="2"/>
      <c r="D44" s="487" t="s">
        <v>223</v>
      </c>
      <c r="E44" s="488">
        <f>SUM(E42:E43)</f>
        <v>5.9419</v>
      </c>
      <c r="F44" s="488">
        <f aca="true" t="shared" si="1" ref="F44:K44">SUM(F42:F43)</f>
        <v>14.239349</v>
      </c>
      <c r="G44" s="488">
        <f t="shared" si="1"/>
        <v>18.162</v>
      </c>
      <c r="H44" s="488">
        <f t="shared" si="1"/>
        <v>19.2</v>
      </c>
      <c r="I44" s="488">
        <f t="shared" si="1"/>
        <v>16.599999999999998</v>
      </c>
      <c r="J44" s="488">
        <f t="shared" si="1"/>
        <v>15.9</v>
      </c>
      <c r="K44" s="488">
        <f t="shared" si="1"/>
        <v>2.382</v>
      </c>
      <c r="L44" s="489">
        <f>SUM(L42:L43)</f>
        <v>92.42524900000001</v>
      </c>
      <c r="M44" s="15"/>
      <c r="N44" s="2"/>
      <c r="O44" s="2"/>
      <c r="P44" s="2"/>
      <c r="Q44" s="2"/>
    </row>
    <row r="45" spans="1:17" ht="21" thickBot="1">
      <c r="A45" s="2"/>
      <c r="B45" s="11"/>
      <c r="C45" s="2"/>
      <c r="D45" s="490" t="s">
        <v>444</v>
      </c>
      <c r="E45" s="491"/>
      <c r="F45" s="491"/>
      <c r="G45" s="491"/>
      <c r="H45" s="491"/>
      <c r="I45" s="491"/>
      <c r="J45" s="491"/>
      <c r="K45" s="491">
        <v>12.4</v>
      </c>
      <c r="L45" s="492">
        <f>SUM(J45:K45)</f>
        <v>12.4</v>
      </c>
      <c r="M45" s="15"/>
      <c r="N45" s="2"/>
      <c r="O45" s="2"/>
      <c r="P45" s="2"/>
      <c r="Q45" s="2"/>
    </row>
    <row r="46" spans="1:17" ht="18.75">
      <c r="A46" s="2"/>
      <c r="B46" s="11">
        <v>0.334858046224092</v>
      </c>
      <c r="C46" s="2"/>
      <c r="D46" s="2"/>
      <c r="E46" s="2"/>
      <c r="F46" s="2"/>
      <c r="G46" s="2"/>
      <c r="H46" s="300">
        <f>SUM(E42:H42)</f>
        <v>57.543249</v>
      </c>
      <c r="I46" s="2"/>
      <c r="J46" s="2"/>
      <c r="K46" s="2"/>
      <c r="L46" s="23"/>
      <c r="M46" s="16"/>
      <c r="N46" s="2"/>
      <c r="O46" s="2"/>
      <c r="P46" s="2"/>
      <c r="Q46" s="2"/>
    </row>
    <row r="47" spans="1:17" ht="20.25">
      <c r="A47" s="2"/>
      <c r="B47" s="11">
        <v>0.19578569925803052</v>
      </c>
      <c r="C47" s="2"/>
      <c r="D47" s="17" t="s">
        <v>124</v>
      </c>
      <c r="E47" s="302">
        <f>+E41</f>
        <v>7.897</v>
      </c>
      <c r="F47" s="302">
        <f aca="true" t="shared" si="2" ref="F47:K48">+E47+F41</f>
        <v>23.817999999999998</v>
      </c>
      <c r="G47" s="302">
        <f t="shared" si="2"/>
        <v>41.318</v>
      </c>
      <c r="H47" s="302">
        <f t="shared" si="2"/>
        <v>58.318</v>
      </c>
      <c r="I47" s="302">
        <f t="shared" si="2"/>
        <v>74.218</v>
      </c>
      <c r="J47" s="302">
        <f t="shared" si="2"/>
        <v>90.11800000000001</v>
      </c>
      <c r="K47" s="302">
        <f t="shared" si="2"/>
        <v>92.418</v>
      </c>
      <c r="L47" s="2"/>
      <c r="M47" s="13"/>
      <c r="N47" s="2"/>
      <c r="O47" s="2"/>
      <c r="P47" s="2"/>
      <c r="Q47" s="2"/>
    </row>
    <row r="48" spans="1:17" ht="20.25">
      <c r="A48" s="2"/>
      <c r="B48" s="11">
        <v>0.11239991731944626</v>
      </c>
      <c r="C48" s="2"/>
      <c r="D48" s="18" t="s">
        <v>11</v>
      </c>
      <c r="E48" s="19">
        <f>+E42</f>
        <v>5.9419</v>
      </c>
      <c r="F48" s="20">
        <f t="shared" si="2"/>
        <v>20.181249</v>
      </c>
      <c r="G48" s="20">
        <f t="shared" si="2"/>
        <v>38.343249</v>
      </c>
      <c r="H48" s="20">
        <f t="shared" si="2"/>
        <v>57.543249</v>
      </c>
      <c r="I48" s="301">
        <f t="shared" si="2"/>
        <v>72.743249</v>
      </c>
      <c r="J48" s="301">
        <f t="shared" si="2"/>
        <v>85.14324900000001</v>
      </c>
      <c r="K48" s="301">
        <f t="shared" si="2"/>
        <v>87.39324900000001</v>
      </c>
      <c r="L48" s="2"/>
      <c r="M48" s="2"/>
      <c r="N48" s="237"/>
      <c r="O48" s="2"/>
      <c r="P48" s="2"/>
      <c r="Q48" s="2"/>
    </row>
    <row r="49" spans="1:17" ht="12.75">
      <c r="A49" s="2"/>
      <c r="B49" s="11">
        <v>0.2201430886503562</v>
      </c>
      <c r="C49" s="2"/>
      <c r="D49" s="2"/>
      <c r="E49" s="2"/>
      <c r="F49" s="2"/>
      <c r="G49" s="2"/>
      <c r="H49" s="2"/>
      <c r="I49" s="300"/>
      <c r="J49" s="2"/>
      <c r="K49" s="2"/>
      <c r="L49" s="2"/>
      <c r="M49" s="2"/>
      <c r="N49" s="2"/>
      <c r="O49" s="2"/>
      <c r="P49" s="2"/>
      <c r="Q49" s="2"/>
    </row>
    <row r="50" spans="1:17" ht="20.25">
      <c r="A50" s="2"/>
      <c r="B50" s="2"/>
      <c r="C50" s="2"/>
      <c r="D50" s="21" t="s">
        <v>125</v>
      </c>
      <c r="E50" s="22">
        <f>+E44</f>
        <v>5.9419</v>
      </c>
      <c r="F50" s="22">
        <f aca="true" t="shared" si="3" ref="F50:K50">+E50+F44</f>
        <v>20.181249</v>
      </c>
      <c r="G50" s="22">
        <f t="shared" si="3"/>
        <v>38.343249</v>
      </c>
      <c r="H50" s="22">
        <f t="shared" si="3"/>
        <v>57.543249</v>
      </c>
      <c r="I50" s="22">
        <f t="shared" si="3"/>
        <v>74.143249</v>
      </c>
      <c r="J50" s="22">
        <f t="shared" si="3"/>
        <v>90.043249</v>
      </c>
      <c r="K50" s="22">
        <f t="shared" si="3"/>
        <v>92.42524900000001</v>
      </c>
      <c r="L50" s="2"/>
      <c r="M50" s="2"/>
      <c r="N50" s="2"/>
      <c r="O50" s="2"/>
      <c r="P50" s="2"/>
      <c r="Q50" s="2"/>
    </row>
    <row r="51" spans="1:17" ht="12.75">
      <c r="A51" s="2"/>
      <c r="B51" s="2"/>
      <c r="C51" s="2"/>
      <c r="D51" s="2"/>
      <c r="F51" s="2">
        <v>23.8</v>
      </c>
      <c r="G51" s="2">
        <v>41.3</v>
      </c>
      <c r="H51" s="2">
        <v>58.3</v>
      </c>
      <c r="I51" s="2">
        <v>74.2</v>
      </c>
      <c r="J51" s="2">
        <v>90.1</v>
      </c>
      <c r="K51" s="2">
        <v>92.4</v>
      </c>
      <c r="L51" s="2"/>
      <c r="M51" s="2"/>
      <c r="N51" s="2"/>
      <c r="O51" s="2"/>
      <c r="P51" s="2"/>
      <c r="Q51" s="2"/>
    </row>
    <row r="52" spans="1:17" ht="12.75">
      <c r="A52" s="2"/>
      <c r="B52" s="2"/>
      <c r="C52" s="2"/>
      <c r="D52" s="2" t="s">
        <v>2</v>
      </c>
      <c r="E52" s="2"/>
      <c r="F52" s="2"/>
      <c r="G52" s="2">
        <v>-0.415</v>
      </c>
      <c r="H52" s="2">
        <v>-1.047</v>
      </c>
      <c r="I52" s="2">
        <v>-0.7120000000000001</v>
      </c>
      <c r="J52" s="2">
        <v>0.151</v>
      </c>
      <c r="K52" s="2">
        <v>0.121</v>
      </c>
      <c r="L52" s="2"/>
      <c r="M52" s="2"/>
      <c r="N52" s="2"/>
      <c r="O52" s="2"/>
      <c r="P52" s="2"/>
      <c r="Q52" s="2"/>
    </row>
    <row r="53" spans="1:17" ht="12.75">
      <c r="A53" s="2"/>
      <c r="B53" s="2"/>
      <c r="C53" s="2"/>
      <c r="D53" s="2" t="s">
        <v>3</v>
      </c>
      <c r="E53" s="2"/>
      <c r="F53" s="2">
        <f aca="true" t="shared" si="4" ref="F53:K53">-F52</f>
        <v>0</v>
      </c>
      <c r="G53" s="2">
        <f t="shared" si="4"/>
        <v>0.415</v>
      </c>
      <c r="H53" s="2">
        <f t="shared" si="4"/>
        <v>1.047</v>
      </c>
      <c r="I53" s="2">
        <f t="shared" si="4"/>
        <v>0.7120000000000001</v>
      </c>
      <c r="J53" s="2">
        <f t="shared" si="4"/>
        <v>-0.151</v>
      </c>
      <c r="K53" s="2">
        <f t="shared" si="4"/>
        <v>-0.121</v>
      </c>
      <c r="L53" s="2"/>
      <c r="M53" s="2"/>
      <c r="N53" s="2"/>
      <c r="O53" s="2"/>
      <c r="P53" s="2"/>
      <c r="Q53" s="2"/>
    </row>
    <row r="54" spans="1:17" ht="12.75">
      <c r="A54" s="2"/>
      <c r="B54" s="2"/>
      <c r="C54" s="2"/>
      <c r="D54" s="2"/>
      <c r="E54" s="2"/>
      <c r="F54" s="2"/>
      <c r="G54" s="2"/>
      <c r="H54" s="2"/>
      <c r="I54" s="2"/>
      <c r="J54" s="2"/>
      <c r="K54" s="2"/>
      <c r="L54" s="2"/>
      <c r="M54" s="2"/>
      <c r="N54" s="2"/>
      <c r="O54" s="2"/>
      <c r="P54" s="2"/>
      <c r="Q54" s="2"/>
    </row>
    <row r="55" spans="1:17" ht="12.75">
      <c r="A55" s="2"/>
      <c r="B55" s="2"/>
      <c r="C55" s="2"/>
      <c r="D55" s="2"/>
      <c r="E55" s="2"/>
      <c r="F55" s="2"/>
      <c r="G55" s="2"/>
      <c r="H55" s="2"/>
      <c r="I55" s="2"/>
      <c r="J55" s="2"/>
      <c r="K55" s="2"/>
      <c r="L55" s="2"/>
      <c r="M55" s="2"/>
      <c r="N55" s="2"/>
      <c r="O55" s="2"/>
      <c r="P55" s="2"/>
      <c r="Q55" s="2"/>
    </row>
    <row r="56" spans="1:17" ht="12.75">
      <c r="A56" s="2"/>
      <c r="B56" s="2"/>
      <c r="C56" s="2"/>
      <c r="D56" s="2"/>
      <c r="E56" s="2"/>
      <c r="F56" s="2"/>
      <c r="G56" s="2"/>
      <c r="H56" s="2"/>
      <c r="I56" s="2"/>
      <c r="J56" s="2"/>
      <c r="K56" s="2"/>
      <c r="L56" s="2"/>
      <c r="M56" s="2"/>
      <c r="N56" s="2"/>
      <c r="O56" s="2"/>
      <c r="P56" s="2"/>
      <c r="Q56" s="2"/>
    </row>
    <row r="57" spans="1:17" ht="12.75">
      <c r="A57" s="2"/>
      <c r="B57" s="2"/>
      <c r="C57" s="2"/>
      <c r="D57" s="2"/>
      <c r="E57" s="2" t="s">
        <v>4</v>
      </c>
      <c r="F57" s="2">
        <f>SUM(G57:L57)</f>
        <v>-0.24</v>
      </c>
      <c r="G57" s="2">
        <v>-0.12</v>
      </c>
      <c r="H57" s="2">
        <v>-0.12</v>
      </c>
      <c r="I57" s="2"/>
      <c r="J57" s="2"/>
      <c r="K57" s="2"/>
      <c r="L57" s="2"/>
      <c r="M57" s="2"/>
      <c r="N57" s="2"/>
      <c r="O57" s="2"/>
      <c r="P57" s="2"/>
      <c r="Q57" s="2"/>
    </row>
    <row r="58" spans="1:17" ht="12.75">
      <c r="A58" s="2"/>
      <c r="B58" s="2"/>
      <c r="C58" s="2"/>
      <c r="D58" s="2"/>
      <c r="E58" s="2" t="s">
        <v>5</v>
      </c>
      <c r="F58" s="2">
        <f aca="true" t="shared" si="5" ref="F58:F63">SUM(G58:L58)</f>
        <v>-0.6000000000000001</v>
      </c>
      <c r="G58" s="2">
        <v>-0.2</v>
      </c>
      <c r="H58" s="2">
        <v>-0.2</v>
      </c>
      <c r="I58" s="2">
        <v>-0.2</v>
      </c>
      <c r="J58" s="2"/>
      <c r="K58" s="2"/>
      <c r="L58" s="2"/>
      <c r="M58" s="2"/>
      <c r="N58" s="2"/>
      <c r="O58" s="2"/>
      <c r="P58" s="2"/>
      <c r="Q58" s="2"/>
    </row>
    <row r="59" spans="1:17" ht="12.75">
      <c r="A59" s="2"/>
      <c r="B59" s="2"/>
      <c r="C59" s="2"/>
      <c r="D59" s="2"/>
      <c r="E59" s="2" t="s">
        <v>6</v>
      </c>
      <c r="F59" s="2">
        <f t="shared" si="5"/>
        <v>-0.64</v>
      </c>
      <c r="G59" s="2"/>
      <c r="H59" s="2">
        <v>-0.32</v>
      </c>
      <c r="I59" s="2">
        <v>-0.32</v>
      </c>
      <c r="J59" s="2"/>
      <c r="K59" s="2"/>
      <c r="L59" s="2"/>
      <c r="M59" s="2"/>
      <c r="N59" s="2"/>
      <c r="O59" s="2"/>
      <c r="P59" s="2"/>
      <c r="Q59" s="2"/>
    </row>
    <row r="60" spans="1:17" ht="12.75">
      <c r="A60" s="2"/>
      <c r="B60" s="2"/>
      <c r="C60" s="2"/>
      <c r="D60" s="2"/>
      <c r="E60" s="2" t="s">
        <v>7</v>
      </c>
      <c r="F60" s="2">
        <f t="shared" si="5"/>
        <v>-0.095</v>
      </c>
      <c r="G60" s="2">
        <v>-0.095</v>
      </c>
      <c r="H60" s="2"/>
      <c r="I60" s="2"/>
      <c r="J60" s="2"/>
      <c r="K60" s="2"/>
      <c r="L60" s="2"/>
      <c r="M60" s="2"/>
      <c r="N60" s="2"/>
      <c r="O60" s="2"/>
      <c r="P60" s="2"/>
      <c r="Q60" s="2"/>
    </row>
    <row r="61" spans="1:17" ht="12.75">
      <c r="A61" s="2"/>
      <c r="B61" s="2"/>
      <c r="C61" s="2"/>
      <c r="D61" s="2"/>
      <c r="E61" s="2" t="s">
        <v>7</v>
      </c>
      <c r="F61" s="2">
        <f t="shared" si="5"/>
        <v>-0.097</v>
      </c>
      <c r="G61" s="2"/>
      <c r="H61" s="2">
        <v>-0.097</v>
      </c>
      <c r="I61" s="2"/>
      <c r="J61" s="2"/>
      <c r="K61" s="2"/>
      <c r="L61" s="2"/>
      <c r="M61" s="2"/>
      <c r="N61" s="2"/>
      <c r="O61" s="2"/>
      <c r="P61" s="2"/>
      <c r="Q61" s="2"/>
    </row>
    <row r="62" spans="1:17" ht="12.75">
      <c r="A62" s="2"/>
      <c r="B62" s="2"/>
      <c r="C62" s="2"/>
      <c r="D62" s="2"/>
      <c r="E62" s="2" t="s">
        <v>8</v>
      </c>
      <c r="F62" s="2">
        <f t="shared" si="5"/>
        <v>-0.3</v>
      </c>
      <c r="G62" s="2"/>
      <c r="H62" s="2">
        <v>-0.15</v>
      </c>
      <c r="I62" s="2">
        <v>-0.15</v>
      </c>
      <c r="J62" s="2"/>
      <c r="K62" s="2"/>
      <c r="L62" s="2"/>
      <c r="M62" s="2"/>
      <c r="N62" s="2"/>
      <c r="O62" s="2"/>
      <c r="P62" s="2"/>
      <c r="Q62" s="2"/>
    </row>
    <row r="63" spans="1:17" ht="12.75">
      <c r="A63" s="2"/>
      <c r="B63" s="2"/>
      <c r="C63" s="2"/>
      <c r="D63" s="2"/>
      <c r="E63" s="2" t="s">
        <v>9</v>
      </c>
      <c r="F63" s="2">
        <f t="shared" si="5"/>
        <v>-0.32</v>
      </c>
      <c r="G63" s="2"/>
      <c r="H63" s="2">
        <v>-0.16</v>
      </c>
      <c r="I63" s="2">
        <v>-0.16</v>
      </c>
      <c r="J63" s="2"/>
      <c r="K63" s="2"/>
      <c r="L63" s="2"/>
      <c r="M63" s="2"/>
      <c r="N63" s="2"/>
      <c r="O63" s="2"/>
      <c r="P63" s="2"/>
      <c r="Q63" s="2"/>
    </row>
    <row r="64" spans="1:17" ht="12.75">
      <c r="A64" s="2"/>
      <c r="B64" s="2"/>
      <c r="C64" s="2"/>
      <c r="D64" s="2"/>
      <c r="E64" s="2" t="s">
        <v>10</v>
      </c>
      <c r="F64" s="2">
        <f>SUM(G64:L65)</f>
        <v>0.48</v>
      </c>
      <c r="G64" s="2"/>
      <c r="H64" s="2"/>
      <c r="I64" s="2">
        <v>0.118</v>
      </c>
      <c r="J64" s="2">
        <v>0.151</v>
      </c>
      <c r="K64" s="2">
        <v>0.121</v>
      </c>
      <c r="L64" s="2"/>
      <c r="M64" s="2"/>
      <c r="N64" s="2"/>
      <c r="O64" s="2"/>
      <c r="P64" s="2"/>
      <c r="Q64" s="2"/>
    </row>
    <row r="65" spans="1:17" ht="12.75">
      <c r="A65" s="2"/>
      <c r="B65" s="2"/>
      <c r="C65" s="2"/>
      <c r="D65" s="2"/>
      <c r="E65" s="2"/>
      <c r="F65" s="2"/>
      <c r="G65" s="2"/>
      <c r="H65" s="2"/>
      <c r="I65" s="2"/>
      <c r="J65" s="2">
        <v>0.09</v>
      </c>
      <c r="K65" s="2"/>
      <c r="L65" s="2"/>
      <c r="M65" s="2"/>
      <c r="N65" s="2"/>
      <c r="O65" s="2"/>
      <c r="P65" s="2"/>
      <c r="Q65" s="2"/>
    </row>
    <row r="66" spans="1:17" ht="12.75">
      <c r="A66" s="2"/>
      <c r="B66" s="2"/>
      <c r="C66" s="2"/>
      <c r="D66" s="2"/>
      <c r="E66" s="2"/>
      <c r="F66" s="2"/>
      <c r="G66" s="2"/>
      <c r="H66" s="2"/>
      <c r="I66" s="2"/>
      <c r="J66" s="2"/>
      <c r="K66" s="2"/>
      <c r="L66" s="2"/>
      <c r="M66" s="2"/>
      <c r="N66" s="2"/>
      <c r="O66" s="2"/>
      <c r="P66" s="2"/>
      <c r="Q66" s="2"/>
    </row>
    <row r="67" spans="1:17" ht="12.75">
      <c r="A67" s="2"/>
      <c r="B67" s="2"/>
      <c r="C67" s="2"/>
      <c r="D67" s="2"/>
      <c r="E67" s="2"/>
      <c r="F67" s="2"/>
      <c r="G67" s="2"/>
      <c r="H67" s="2"/>
      <c r="I67" s="2"/>
      <c r="J67" s="2"/>
      <c r="K67" s="2"/>
      <c r="L67" s="2"/>
      <c r="M67" s="2"/>
      <c r="N67" s="2"/>
      <c r="O67" s="2"/>
      <c r="P67" s="2"/>
      <c r="Q67" s="2"/>
    </row>
    <row r="68" spans="1:17" ht="12.75">
      <c r="A68" s="2"/>
      <c r="B68" s="2"/>
      <c r="C68" s="2"/>
      <c r="D68" s="2"/>
      <c r="E68" s="2"/>
      <c r="F68" s="2"/>
      <c r="G68" s="2"/>
      <c r="H68" s="2"/>
      <c r="I68" s="2"/>
      <c r="J68" s="2"/>
      <c r="K68" s="2"/>
      <c r="L68" s="2"/>
      <c r="M68" s="2"/>
      <c r="N68" s="2"/>
      <c r="O68" s="2"/>
      <c r="P68" s="2"/>
      <c r="Q68" s="2"/>
    </row>
    <row r="69" spans="1:17" ht="12.75">
      <c r="A69" s="2"/>
      <c r="B69" s="2"/>
      <c r="C69" s="2"/>
      <c r="D69" s="2"/>
      <c r="E69" s="2"/>
      <c r="F69" s="2"/>
      <c r="G69" s="2"/>
      <c r="H69" s="2"/>
      <c r="I69" s="2"/>
      <c r="J69" s="2"/>
      <c r="K69" s="2"/>
      <c r="L69" s="2"/>
      <c r="M69" s="2"/>
      <c r="N69" s="2"/>
      <c r="O69" s="2"/>
      <c r="P69" s="2"/>
      <c r="Q69" s="2"/>
    </row>
    <row r="70" spans="1:17" ht="12.75">
      <c r="A70" s="2"/>
      <c r="B70" s="2"/>
      <c r="C70" s="2"/>
      <c r="D70" s="2"/>
      <c r="E70" s="2"/>
      <c r="F70" s="2"/>
      <c r="G70" s="2"/>
      <c r="H70" s="2"/>
      <c r="I70" s="2"/>
      <c r="J70" s="2"/>
      <c r="K70" s="2"/>
      <c r="L70" s="2"/>
      <c r="M70" s="2"/>
      <c r="N70" s="2"/>
      <c r="O70" s="2"/>
      <c r="P70" s="2"/>
      <c r="Q70" s="2"/>
    </row>
    <row r="71" spans="1:17" ht="12.75">
      <c r="A71" s="2"/>
      <c r="B71" s="2"/>
      <c r="C71" s="2"/>
      <c r="D71" s="2"/>
      <c r="E71" s="2"/>
      <c r="F71" s="2"/>
      <c r="G71" s="2"/>
      <c r="H71" s="2"/>
      <c r="I71" s="2"/>
      <c r="J71" s="2"/>
      <c r="K71" s="2"/>
      <c r="L71" s="2"/>
      <c r="M71" s="2"/>
      <c r="N71" s="2"/>
      <c r="O71" s="2"/>
      <c r="P71" s="2"/>
      <c r="Q71" s="2"/>
    </row>
    <row r="72" spans="1:17" ht="12.75">
      <c r="A72" s="2"/>
      <c r="B72" s="2"/>
      <c r="C72" s="2"/>
      <c r="D72" s="2"/>
      <c r="E72" s="2"/>
      <c r="F72" s="2"/>
      <c r="G72" s="2"/>
      <c r="H72" s="2"/>
      <c r="I72" s="2"/>
      <c r="J72" s="2"/>
      <c r="K72" s="2"/>
      <c r="L72" s="2"/>
      <c r="M72" s="2"/>
      <c r="N72" s="2"/>
      <c r="O72" s="2"/>
      <c r="P72" s="2"/>
      <c r="Q72" s="2"/>
    </row>
    <row r="73" spans="1:17" ht="12.75">
      <c r="A73" s="2"/>
      <c r="B73" s="2"/>
      <c r="C73" s="2"/>
      <c r="D73" s="2"/>
      <c r="E73" s="2"/>
      <c r="F73" s="2"/>
      <c r="G73" s="2"/>
      <c r="H73" s="2"/>
      <c r="I73" s="2"/>
      <c r="J73" s="2"/>
      <c r="K73" s="2"/>
      <c r="L73" s="2"/>
      <c r="M73" s="2"/>
      <c r="N73" s="2"/>
      <c r="O73" s="2"/>
      <c r="P73" s="2"/>
      <c r="Q73" s="2"/>
    </row>
    <row r="74" spans="33:37" ht="12.75">
      <c r="AG74" s="576" t="s">
        <v>127</v>
      </c>
      <c r="AH74" s="568" t="s">
        <v>692</v>
      </c>
      <c r="AI74" s="569"/>
      <c r="AJ74" s="568"/>
      <c r="AK74" s="569" t="s">
        <v>222</v>
      </c>
    </row>
    <row r="75" spans="33:37" ht="12.75">
      <c r="AG75" s="577"/>
      <c r="AH75" s="570"/>
      <c r="AI75" s="571"/>
      <c r="AJ75" s="570"/>
      <c r="AK75" s="571"/>
    </row>
    <row r="76" spans="32:37" ht="12.75">
      <c r="AF76" t="s">
        <v>461</v>
      </c>
      <c r="AG76" s="577">
        <v>61.95</v>
      </c>
      <c r="AH76" s="570">
        <v>4.9</v>
      </c>
      <c r="AI76" s="571">
        <f>SUM(AG76:AH76)</f>
        <v>66.85000000000001</v>
      </c>
      <c r="AJ76" s="570"/>
      <c r="AK76" s="571"/>
    </row>
    <row r="77" spans="33:37" ht="12.75">
      <c r="AG77" s="577"/>
      <c r="AH77" s="570"/>
      <c r="AI77" s="571"/>
      <c r="AJ77" s="570"/>
      <c r="AK77" s="571"/>
    </row>
    <row r="78" spans="32:37" ht="12.75">
      <c r="AF78" t="s">
        <v>693</v>
      </c>
      <c r="AG78" s="577">
        <v>15.9</v>
      </c>
      <c r="AH78" s="570">
        <v>1.2</v>
      </c>
      <c r="AI78" s="571">
        <f>SUM(AG78:AH78)</f>
        <v>17.1</v>
      </c>
      <c r="AJ78" s="570">
        <f>+AI78+AJ81</f>
        <v>29.499999999999993</v>
      </c>
      <c r="AK78" s="571"/>
    </row>
    <row r="79" spans="33:37" ht="14.25">
      <c r="AG79" s="578">
        <f>+AG78/AG76</f>
        <v>0.2566585956416465</v>
      </c>
      <c r="AH79" s="572">
        <f>+AH78/AH76</f>
        <v>0.24489795918367344</v>
      </c>
      <c r="AI79" s="573">
        <f>+AI78/AI76</f>
        <v>0.25579655946148094</v>
      </c>
      <c r="AJ79" s="580">
        <f>+AJ78/AI76</f>
        <v>0.44128646222887047</v>
      </c>
      <c r="AK79" s="571"/>
    </row>
    <row r="80" spans="33:37" ht="12.75">
      <c r="AG80" s="577"/>
      <c r="AH80" s="570"/>
      <c r="AI80" s="571"/>
      <c r="AJ80" s="570"/>
      <c r="AK80" s="571"/>
    </row>
    <row r="81" spans="32:37" ht="12.75">
      <c r="AF81" t="s">
        <v>694</v>
      </c>
      <c r="AG81" s="579">
        <v>86.3</v>
      </c>
      <c r="AH81" s="574"/>
      <c r="AI81" s="575">
        <v>92.4</v>
      </c>
      <c r="AJ81" s="574">
        <f>+AK81-AI81</f>
        <v>12.399999999999991</v>
      </c>
      <c r="AK81" s="575">
        <v>104.8</v>
      </c>
    </row>
  </sheetData>
  <printOptions/>
  <pageMargins left="0.75" right="0.75" top="1" bottom="1" header="0.5" footer="0.5"/>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dimension ref="B2:AI74"/>
  <sheetViews>
    <sheetView workbookViewId="0" topLeftCell="A1">
      <selection activeCell="B3" sqref="B3:Q40"/>
    </sheetView>
  </sheetViews>
  <sheetFormatPr defaultColWidth="9.140625" defaultRowHeight="12.75"/>
  <cols>
    <col min="1" max="1" width="2.28125" style="0" customWidth="1"/>
    <col min="2" max="2" width="1.421875" style="2" customWidth="1"/>
    <col min="3" max="3" width="11.140625" style="0" customWidth="1"/>
    <col min="4" max="4" width="12.00390625" style="0" customWidth="1"/>
    <col min="5" max="5" width="12.28125" style="0" customWidth="1"/>
    <col min="6" max="6" width="10.8515625" style="0" customWidth="1"/>
    <col min="7" max="7" width="13.28125" style="0" customWidth="1"/>
    <col min="8" max="8" width="15.421875" style="0" bestFit="1" customWidth="1"/>
    <col min="9" max="9" width="12.57421875" style="0" customWidth="1"/>
    <col min="10" max="10" width="17.140625" style="0" customWidth="1"/>
    <col min="11" max="11" width="12.140625" style="0" customWidth="1"/>
    <col min="12" max="12" width="12.57421875" style="0" customWidth="1"/>
    <col min="13" max="13" width="13.00390625" style="2" customWidth="1"/>
    <col min="14" max="14" width="15.57421875" style="0" customWidth="1"/>
    <col min="15" max="15" width="12.28125" style="0" customWidth="1"/>
    <col min="16" max="16" width="11.421875" style="0" customWidth="1"/>
    <col min="17" max="17" width="14.57421875" style="0" bestFit="1" customWidth="1"/>
    <col min="18" max="24" width="12.140625" style="0" customWidth="1"/>
    <col min="25" max="26" width="13.00390625" style="0" customWidth="1"/>
    <col min="27" max="27" width="10.7109375" style="0" customWidth="1"/>
    <col min="28" max="28" width="10.7109375" style="303" customWidth="1"/>
    <col min="29" max="29" width="13.140625" style="0" customWidth="1"/>
    <col min="30" max="16384" width="9.57421875" style="0" customWidth="1"/>
  </cols>
  <sheetData>
    <row r="2" spans="28:30" ht="15.75">
      <c r="AB2" s="304"/>
      <c r="AC2" s="305"/>
      <c r="AD2" s="305"/>
    </row>
    <row r="3" spans="2:34" ht="23.25">
      <c r="B3" s="306" t="s">
        <v>409</v>
      </c>
      <c r="C3" s="307"/>
      <c r="D3" s="307"/>
      <c r="E3" s="307"/>
      <c r="F3" s="307"/>
      <c r="G3" s="307"/>
      <c r="H3" s="307"/>
      <c r="I3" s="307"/>
      <c r="J3" s="307"/>
      <c r="K3" s="307"/>
      <c r="L3" s="307"/>
      <c r="M3" s="308"/>
      <c r="N3" s="307"/>
      <c r="O3" s="307"/>
      <c r="P3" s="307" t="s">
        <v>207</v>
      </c>
      <c r="Q3" s="307"/>
      <c r="R3" s="307"/>
      <c r="S3" s="307"/>
      <c r="T3" s="307"/>
      <c r="U3" s="307"/>
      <c r="V3" s="307"/>
      <c r="W3" s="307"/>
      <c r="X3" s="307"/>
      <c r="Y3" s="307"/>
      <c r="Z3" s="307"/>
      <c r="AA3" s="307"/>
      <c r="AB3" s="307"/>
      <c r="AF3" s="304"/>
      <c r="AG3" s="305"/>
      <c r="AH3" s="305"/>
    </row>
    <row r="4" spans="3:28" ht="13.5" thickBot="1">
      <c r="C4" s="309"/>
      <c r="D4" s="309"/>
      <c r="E4" s="309"/>
      <c r="F4" s="309"/>
      <c r="G4" s="309"/>
      <c r="H4" s="309"/>
      <c r="I4" s="309"/>
      <c r="J4" s="309"/>
      <c r="K4" s="309"/>
      <c r="L4" s="309"/>
      <c r="M4" s="310"/>
      <c r="N4" s="310"/>
      <c r="AB4"/>
    </row>
    <row r="5" spans="2:35" ht="18.75" thickTop="1">
      <c r="B5" s="311"/>
      <c r="C5" s="6"/>
      <c r="D5" s="312" t="s">
        <v>77</v>
      </c>
      <c r="E5" s="312" t="s">
        <v>78</v>
      </c>
      <c r="F5" s="7"/>
      <c r="G5" s="313" t="s">
        <v>79</v>
      </c>
      <c r="H5" s="314"/>
      <c r="I5" s="314"/>
      <c r="J5" s="314"/>
      <c r="K5" s="314"/>
      <c r="L5" s="315" t="s">
        <v>207</v>
      </c>
      <c r="M5" s="316" t="s">
        <v>79</v>
      </c>
      <c r="N5" s="317" t="s">
        <v>410</v>
      </c>
      <c r="O5" s="7"/>
      <c r="AB5" s="318" t="s">
        <v>80</v>
      </c>
      <c r="AC5" s="318" t="s">
        <v>80</v>
      </c>
      <c r="AD5" s="319" t="s">
        <v>80</v>
      </c>
      <c r="AE5" s="312" t="s">
        <v>80</v>
      </c>
      <c r="AF5" s="320" t="s">
        <v>81</v>
      </c>
      <c r="AG5" s="318" t="s">
        <v>82</v>
      </c>
      <c r="AH5" s="318" t="s">
        <v>83</v>
      </c>
      <c r="AI5" s="321" t="s">
        <v>411</v>
      </c>
    </row>
    <row r="6" spans="2:35" ht="38.25" customHeight="1" thickBot="1">
      <c r="B6" s="322" t="s">
        <v>412</v>
      </c>
      <c r="C6" s="6"/>
      <c r="D6" s="323"/>
      <c r="E6" s="323"/>
      <c r="F6" s="324" t="s">
        <v>413</v>
      </c>
      <c r="G6" s="325" t="s">
        <v>414</v>
      </c>
      <c r="H6" s="326" t="s">
        <v>415</v>
      </c>
      <c r="I6" s="327" t="s">
        <v>416</v>
      </c>
      <c r="J6" s="327" t="s">
        <v>417</v>
      </c>
      <c r="K6" s="327" t="s">
        <v>418</v>
      </c>
      <c r="L6" s="328" t="s">
        <v>419</v>
      </c>
      <c r="M6" s="329" t="s">
        <v>420</v>
      </c>
      <c r="N6" s="330" t="s">
        <v>421</v>
      </c>
      <c r="O6" s="331" t="s">
        <v>422</v>
      </c>
      <c r="AB6" s="325" t="s">
        <v>414</v>
      </c>
      <c r="AC6" s="325" t="s">
        <v>423</v>
      </c>
      <c r="AD6" s="332" t="s">
        <v>424</v>
      </c>
      <c r="AE6" s="333" t="s">
        <v>425</v>
      </c>
      <c r="AF6" s="334"/>
      <c r="AG6" s="323"/>
      <c r="AH6" s="323"/>
      <c r="AI6" s="335"/>
    </row>
    <row r="7" spans="2:35" ht="18">
      <c r="B7" s="311"/>
      <c r="C7" s="254" t="s">
        <v>426</v>
      </c>
      <c r="D7" s="336">
        <v>1320000</v>
      </c>
      <c r="E7" s="336">
        <v>2809000</v>
      </c>
      <c r="F7" s="337">
        <f>SUM(D7:E7)-SUM(D14:E14)</f>
        <v>135304</v>
      </c>
      <c r="G7" s="338">
        <v>1500000</v>
      </c>
      <c r="H7" s="338"/>
      <c r="I7" s="338">
        <v>300000</v>
      </c>
      <c r="J7" s="338">
        <v>300000</v>
      </c>
      <c r="K7" s="338">
        <v>200000</v>
      </c>
      <c r="L7" s="339">
        <f>SUM(G7:K7)</f>
        <v>2300000</v>
      </c>
      <c r="M7" s="340">
        <f>SUM(F7:K7)</f>
        <v>2435304</v>
      </c>
      <c r="N7" s="341">
        <f>SUM(D7:E7,G7:K7)</f>
        <v>6429000</v>
      </c>
      <c r="O7" s="342">
        <f>+N7-N14</f>
        <v>274463</v>
      </c>
      <c r="AB7" s="343">
        <v>1500000</v>
      </c>
      <c r="AC7" s="343">
        <v>191000</v>
      </c>
      <c r="AD7" s="343">
        <f>SUM(AB7:AC7)*-0.01</f>
        <v>-16910</v>
      </c>
      <c r="AE7" s="344">
        <f>SUM(O7:AD7)</f>
        <v>1948553</v>
      </c>
      <c r="AF7" s="343">
        <v>1000000</v>
      </c>
      <c r="AG7" s="343">
        <v>650000</v>
      </c>
      <c r="AH7" s="343">
        <f>250000-AC7</f>
        <v>59000</v>
      </c>
      <c r="AI7" s="345" t="e">
        <f>SUM(N7,AB7,AC7,AF7,AG7:P26V7)</f>
        <v>#NAME?</v>
      </c>
    </row>
    <row r="8" spans="2:35" ht="18">
      <c r="B8" s="311"/>
      <c r="C8" s="346" t="s">
        <v>427</v>
      </c>
      <c r="D8" s="347">
        <v>6577000</v>
      </c>
      <c r="E8" s="347">
        <v>13037000</v>
      </c>
      <c r="F8" s="348">
        <f>SUM(D8:E8)-SUM(D18:E18)</f>
        <v>3426421</v>
      </c>
      <c r="G8" s="349">
        <v>14300000</v>
      </c>
      <c r="H8" s="349">
        <v>1700000</v>
      </c>
      <c r="I8" s="349">
        <f>-I7</f>
        <v>-300000</v>
      </c>
      <c r="J8" s="349">
        <f>-J7</f>
        <v>-300000</v>
      </c>
      <c r="K8" s="349">
        <f>-K7</f>
        <v>-200000</v>
      </c>
      <c r="L8" s="350">
        <f>SUM(G8:K8)</f>
        <v>15200000</v>
      </c>
      <c r="M8" s="351">
        <f>SUM(F8:K8)</f>
        <v>18626421</v>
      </c>
      <c r="N8" s="352">
        <f>SUM(D8:E8,G8:K8)</f>
        <v>34814000</v>
      </c>
      <c r="O8" s="342">
        <f>+N8-N18</f>
        <v>2655650</v>
      </c>
      <c r="AB8" s="343">
        <v>14400000</v>
      </c>
      <c r="AC8" s="343">
        <v>1100000</v>
      </c>
      <c r="AD8" s="343">
        <f>SUM(AB8:AC8)*-0.01</f>
        <v>-155000</v>
      </c>
      <c r="AE8" s="344">
        <f>SUM(O8:AD8)</f>
        <v>18000650</v>
      </c>
      <c r="AF8" s="343">
        <v>14900000</v>
      </c>
      <c r="AG8" s="343">
        <v>15250000</v>
      </c>
      <c r="AH8" s="343">
        <f>3133000-AC8</f>
        <v>2033000</v>
      </c>
      <c r="AI8" s="345">
        <f>SUM(N8,AB8,AC8,AF8,AG8:AH8)</f>
        <v>82497000</v>
      </c>
    </row>
    <row r="9" spans="2:35" ht="47.25" customHeight="1" thickBot="1">
      <c r="B9" s="311"/>
      <c r="C9" s="253" t="s">
        <v>91</v>
      </c>
      <c r="D9" s="353"/>
      <c r="E9" s="353">
        <v>75000</v>
      </c>
      <c r="F9" s="354">
        <v>75000</v>
      </c>
      <c r="G9" s="355">
        <v>0</v>
      </c>
      <c r="H9" s="356" t="s">
        <v>428</v>
      </c>
      <c r="I9" s="357"/>
      <c r="J9" s="357"/>
      <c r="K9" s="357" t="s">
        <v>207</v>
      </c>
      <c r="L9" s="358" t="s">
        <v>207</v>
      </c>
      <c r="M9" s="359">
        <f>SUM(F9)</f>
        <v>75000</v>
      </c>
      <c r="N9" s="360">
        <f>SUM(D9:E9,G9:K9)</f>
        <v>75000</v>
      </c>
      <c r="O9" s="361"/>
      <c r="AB9" s="362"/>
      <c r="AC9" s="362"/>
      <c r="AD9" s="362"/>
      <c r="AE9" s="363"/>
      <c r="AF9" s="362"/>
      <c r="AG9" s="362"/>
      <c r="AH9" s="362"/>
      <c r="AI9" s="364">
        <f>SUM(N9,AB9,AF9:AH9)</f>
        <v>75000</v>
      </c>
    </row>
    <row r="10" spans="2:35" ht="19.5" thickBot="1" thickTop="1">
      <c r="B10" s="311"/>
      <c r="C10" s="365" t="s">
        <v>95</v>
      </c>
      <c r="D10" s="366">
        <f>SUM(D7:D9)</f>
        <v>7897000</v>
      </c>
      <c r="E10" s="366">
        <f>SUM(E7:E9)</f>
        <v>15921000</v>
      </c>
      <c r="F10" s="367">
        <f>SUM(F7:F9)</f>
        <v>3636725</v>
      </c>
      <c r="G10" s="368">
        <f>SUM(G7:G9)</f>
        <v>15800000</v>
      </c>
      <c r="H10" s="369"/>
      <c r="I10" s="369"/>
      <c r="J10" s="369"/>
      <c r="K10" s="369"/>
      <c r="L10" s="370"/>
      <c r="M10" s="371">
        <f>SUM(M7:M9)</f>
        <v>21136725</v>
      </c>
      <c r="N10" s="372">
        <f>SUM(N7:N9)</f>
        <v>41318000</v>
      </c>
      <c r="O10" s="343">
        <f>SUM(O7:O9)</f>
        <v>2930113</v>
      </c>
      <c r="AB10" s="343">
        <f aca="true" t="shared" si="0" ref="AB10:AI10">SUM(AB7:AB9)</f>
        <v>15900000</v>
      </c>
      <c r="AC10" s="343">
        <f t="shared" si="0"/>
        <v>1291000</v>
      </c>
      <c r="AD10" s="343">
        <f t="shared" si="0"/>
        <v>-171910</v>
      </c>
      <c r="AE10" s="373">
        <f t="shared" si="0"/>
        <v>19949203</v>
      </c>
      <c r="AF10" s="343">
        <f t="shared" si="0"/>
        <v>15900000</v>
      </c>
      <c r="AG10" s="343">
        <f t="shared" si="0"/>
        <v>15900000</v>
      </c>
      <c r="AH10" s="343">
        <f t="shared" si="0"/>
        <v>2092000</v>
      </c>
      <c r="AI10" s="345" t="e">
        <f t="shared" si="0"/>
        <v>#NAME?</v>
      </c>
    </row>
    <row r="11" spans="2:34" s="2" customFormat="1" ht="18.75" thickBot="1">
      <c r="B11" s="374"/>
      <c r="C11" s="255"/>
      <c r="D11" s="375"/>
      <c r="E11" s="375"/>
      <c r="F11" s="376"/>
      <c r="G11" s="377"/>
      <c r="H11" s="378"/>
      <c r="I11" s="378"/>
      <c r="J11" s="378"/>
      <c r="K11" s="378"/>
      <c r="L11" s="378"/>
      <c r="M11" s="379"/>
      <c r="N11" s="380"/>
      <c r="O11" s="381"/>
      <c r="P11" s="382"/>
      <c r="Q11" s="382"/>
      <c r="R11" s="382"/>
      <c r="S11" s="382"/>
      <c r="T11" s="382"/>
      <c r="U11" s="382"/>
      <c r="V11" s="382"/>
      <c r="W11" s="382"/>
      <c r="X11" s="382"/>
      <c r="Y11" s="382"/>
      <c r="Z11" s="382"/>
      <c r="AA11" s="382"/>
      <c r="AB11" s="382"/>
      <c r="AC11" s="382"/>
      <c r="AD11" s="382"/>
      <c r="AE11" s="382"/>
      <c r="AF11" s="382"/>
      <c r="AG11" s="383"/>
      <c r="AH11" s="380"/>
    </row>
    <row r="12" spans="2:33" ht="23.25" customHeight="1" thickBot="1" thickTop="1">
      <c r="B12" s="384"/>
      <c r="C12" s="255"/>
      <c r="D12" s="375"/>
      <c r="E12" s="375"/>
      <c r="F12" s="376"/>
      <c r="G12" s="375"/>
      <c r="H12" s="385"/>
      <c r="I12" s="385"/>
      <c r="J12" s="385"/>
      <c r="K12" s="385"/>
      <c r="L12" s="385"/>
      <c r="M12" s="379"/>
      <c r="N12" s="317" t="s">
        <v>429</v>
      </c>
      <c r="O12" s="342"/>
      <c r="P12" s="303"/>
      <c r="Q12" s="303"/>
      <c r="R12" s="303"/>
      <c r="S12" s="303"/>
      <c r="T12" s="303"/>
      <c r="U12" s="303"/>
      <c r="V12" s="303"/>
      <c r="W12" s="303"/>
      <c r="X12" s="303"/>
      <c r="Y12" s="303"/>
      <c r="Z12" s="303"/>
      <c r="AA12" s="303"/>
      <c r="AC12" s="303"/>
      <c r="AD12" s="303"/>
      <c r="AE12" s="303"/>
      <c r="AF12" s="303"/>
      <c r="AG12" s="303"/>
    </row>
    <row r="13" spans="2:28" ht="28.5" thickBot="1">
      <c r="B13" s="322" t="s">
        <v>213</v>
      </c>
      <c r="C13" s="6"/>
      <c r="D13" s="386" t="s">
        <v>77</v>
      </c>
      <c r="E13" s="386" t="s">
        <v>78</v>
      </c>
      <c r="F13" s="387"/>
      <c r="G13" s="388"/>
      <c r="H13" s="389"/>
      <c r="I13" s="389"/>
      <c r="J13" s="389"/>
      <c r="K13" s="389"/>
      <c r="L13" s="389"/>
      <c r="M13" s="390" t="s">
        <v>79</v>
      </c>
      <c r="N13" s="330" t="s">
        <v>421</v>
      </c>
      <c r="O13" s="342"/>
      <c r="AB13"/>
    </row>
    <row r="14" spans="2:28" ht="18">
      <c r="B14" s="384"/>
      <c r="C14" s="254" t="s">
        <v>426</v>
      </c>
      <c r="D14" s="391">
        <v>1146273</v>
      </c>
      <c r="E14" s="391">
        <v>2847423</v>
      </c>
      <c r="F14" s="337"/>
      <c r="G14" s="391"/>
      <c r="H14" s="392"/>
      <c r="I14" s="392"/>
      <c r="J14" s="392"/>
      <c r="K14" s="392"/>
      <c r="L14" s="392"/>
      <c r="M14" s="393">
        <v>2160841</v>
      </c>
      <c r="N14" s="352">
        <f aca="true" t="shared" si="1" ref="N14:N19">SUM(D14:M14)</f>
        <v>6154537</v>
      </c>
      <c r="O14" s="342"/>
      <c r="AB14"/>
    </row>
    <row r="15" spans="2:30" ht="18">
      <c r="B15" s="384"/>
      <c r="C15" s="346" t="s">
        <v>427</v>
      </c>
      <c r="D15" s="394">
        <v>4795653</v>
      </c>
      <c r="E15" s="394">
        <v>11028219</v>
      </c>
      <c r="F15" s="395"/>
      <c r="G15" s="396"/>
      <c r="H15" s="397"/>
      <c r="I15" s="397"/>
      <c r="J15" s="397"/>
      <c r="K15" s="398"/>
      <c r="L15" s="398"/>
      <c r="M15" s="399">
        <f>15970771+438707</f>
        <v>16409478</v>
      </c>
      <c r="N15" s="352">
        <f t="shared" si="1"/>
        <v>32233350</v>
      </c>
      <c r="O15" s="342"/>
      <c r="AB15"/>
      <c r="AD15" s="400"/>
    </row>
    <row r="16" spans="2:28" ht="24.75">
      <c r="B16" s="384"/>
      <c r="C16" s="401" t="s">
        <v>430</v>
      </c>
      <c r="D16" s="402"/>
      <c r="E16" s="402">
        <v>438707</v>
      </c>
      <c r="F16" s="403" t="s">
        <v>431</v>
      </c>
      <c r="G16" s="404"/>
      <c r="H16" s="405"/>
      <c r="I16" s="405"/>
      <c r="J16" s="405"/>
      <c r="K16" s="405" t="s">
        <v>207</v>
      </c>
      <c r="L16" s="405"/>
      <c r="M16" s="402">
        <v>-438707</v>
      </c>
      <c r="N16" s="341">
        <f t="shared" si="1"/>
        <v>0</v>
      </c>
      <c r="O16" s="342"/>
      <c r="AB16"/>
    </row>
    <row r="17" spans="2:28" ht="24.75">
      <c r="B17" s="384"/>
      <c r="C17" s="401" t="s">
        <v>432</v>
      </c>
      <c r="D17" s="406"/>
      <c r="E17" s="406">
        <v>-75000</v>
      </c>
      <c r="F17" s="403" t="s">
        <v>433</v>
      </c>
      <c r="G17" s="404"/>
      <c r="H17" s="405"/>
      <c r="I17" s="405"/>
      <c r="J17" s="405"/>
      <c r="K17" s="405" t="s">
        <v>207</v>
      </c>
      <c r="L17" s="405"/>
      <c r="M17" s="406"/>
      <c r="N17" s="341">
        <f t="shared" si="1"/>
        <v>-75000</v>
      </c>
      <c r="O17" s="342"/>
      <c r="AB17"/>
    </row>
    <row r="18" spans="2:28" ht="18">
      <c r="B18" s="384"/>
      <c r="C18" s="346" t="s">
        <v>434</v>
      </c>
      <c r="D18" s="394">
        <f>SUM(D15:D17)</f>
        <v>4795653</v>
      </c>
      <c r="E18" s="394">
        <f>SUM(E15:E17)</f>
        <v>11391926</v>
      </c>
      <c r="F18" s="348"/>
      <c r="G18" s="407"/>
      <c r="H18" s="398"/>
      <c r="I18" s="398"/>
      <c r="J18" s="398"/>
      <c r="K18" s="398"/>
      <c r="L18" s="398"/>
      <c r="M18" s="394">
        <f>SUM(M15:M17)</f>
        <v>15970771</v>
      </c>
      <c r="N18" s="352">
        <f>SUM(D18:M18)</f>
        <v>32158350</v>
      </c>
      <c r="O18" s="342"/>
      <c r="AB18"/>
    </row>
    <row r="19" spans="2:28" ht="18.75" thickBot="1">
      <c r="B19" s="384"/>
      <c r="C19" s="253" t="s">
        <v>435</v>
      </c>
      <c r="D19" s="408"/>
      <c r="E19" s="408">
        <v>75000</v>
      </c>
      <c r="F19" s="409"/>
      <c r="G19" s="410"/>
      <c r="H19" s="411"/>
      <c r="I19" s="411"/>
      <c r="J19" s="411"/>
      <c r="K19" s="411"/>
      <c r="L19" s="411"/>
      <c r="M19" s="408"/>
      <c r="N19" s="412">
        <f t="shared" si="1"/>
        <v>75000</v>
      </c>
      <c r="O19" s="413"/>
      <c r="AB19"/>
    </row>
    <row r="20" spans="2:28" ht="19.5" thickBot="1" thickTop="1">
      <c r="B20" s="384"/>
      <c r="C20" s="365" t="s">
        <v>95</v>
      </c>
      <c r="D20" s="366">
        <f>SUM(D18,D14)</f>
        <v>5941926</v>
      </c>
      <c r="E20" s="366">
        <f>SUM(E18,E14)</f>
        <v>14239349</v>
      </c>
      <c r="F20" s="367"/>
      <c r="G20" s="366"/>
      <c r="H20" s="414"/>
      <c r="I20" s="414"/>
      <c r="J20" s="414"/>
      <c r="K20" s="414"/>
      <c r="L20" s="414"/>
      <c r="M20" s="415">
        <f>SUM(M14,M18,M19)</f>
        <v>18131612</v>
      </c>
      <c r="N20" s="372">
        <f>SUM(N14,N18,N19)</f>
        <v>38387887</v>
      </c>
      <c r="O20" s="342"/>
      <c r="AB20"/>
    </row>
    <row r="21" spans="2:15" s="416" customFormat="1" ht="9" customHeight="1" thickTop="1">
      <c r="B21" s="417"/>
      <c r="C21" s="418"/>
      <c r="D21" s="419"/>
      <c r="E21" s="419"/>
      <c r="F21" s="420"/>
      <c r="G21" s="419"/>
      <c r="H21" s="421"/>
      <c r="I21" s="421"/>
      <c r="J21" s="421"/>
      <c r="K21" s="421"/>
      <c r="L21" s="421"/>
      <c r="M21" s="422"/>
      <c r="N21" s="423"/>
      <c r="O21" s="424"/>
    </row>
    <row r="22" spans="2:28" ht="18.75" thickBot="1">
      <c r="B22" s="384"/>
      <c r="C22" s="6"/>
      <c r="D22" s="425"/>
      <c r="E22" s="425"/>
      <c r="F22" s="426"/>
      <c r="G22" s="425"/>
      <c r="M22" s="380"/>
      <c r="O22" s="400"/>
      <c r="AB22"/>
    </row>
    <row r="23" spans="2:28" ht="27.75">
      <c r="B23" s="384"/>
      <c r="C23" s="322" t="s">
        <v>412</v>
      </c>
      <c r="D23" s="7"/>
      <c r="E23" s="427" t="s">
        <v>80</v>
      </c>
      <c r="F23" s="428"/>
      <c r="G23" s="428"/>
      <c r="H23" s="429"/>
      <c r="I23" s="430" t="s">
        <v>80</v>
      </c>
      <c r="J23" s="312" t="s">
        <v>410</v>
      </c>
      <c r="L23" s="427" t="s">
        <v>81</v>
      </c>
      <c r="M23" s="431"/>
      <c r="N23" s="432" t="s">
        <v>81</v>
      </c>
      <c r="O23" s="433" t="s">
        <v>82</v>
      </c>
      <c r="P23" s="433" t="s">
        <v>83</v>
      </c>
      <c r="Q23" s="434" t="s">
        <v>411</v>
      </c>
      <c r="AB23"/>
    </row>
    <row r="24" spans="2:28" ht="27" thickBot="1">
      <c r="B24" s="384"/>
      <c r="C24" s="6"/>
      <c r="D24" s="331" t="s">
        <v>422</v>
      </c>
      <c r="E24" s="325" t="s">
        <v>414</v>
      </c>
      <c r="F24" s="326" t="s">
        <v>423</v>
      </c>
      <c r="G24" s="435" t="s">
        <v>424</v>
      </c>
      <c r="H24" s="436" t="s">
        <v>436</v>
      </c>
      <c r="I24" s="437" t="s">
        <v>425</v>
      </c>
      <c r="J24" s="438" t="s">
        <v>437</v>
      </c>
      <c r="K24" s="331" t="s">
        <v>438</v>
      </c>
      <c r="L24" s="439" t="s">
        <v>439</v>
      </c>
      <c r="M24" s="440" t="s">
        <v>440</v>
      </c>
      <c r="N24" s="441" t="s">
        <v>425</v>
      </c>
      <c r="O24" s="323"/>
      <c r="P24" s="323"/>
      <c r="Q24" s="335"/>
      <c r="AB24"/>
    </row>
    <row r="25" spans="2:28" ht="18">
      <c r="B25" s="384"/>
      <c r="C25" s="442" t="s">
        <v>426</v>
      </c>
      <c r="D25" s="337">
        <f>SUM(O7)</f>
        <v>274463</v>
      </c>
      <c r="E25" s="443">
        <v>1500000</v>
      </c>
      <c r="F25" s="443">
        <v>191000</v>
      </c>
      <c r="G25" s="443">
        <f>SUM(E25:F25)*-0.01</f>
        <v>-16910</v>
      </c>
      <c r="H25" s="340">
        <v>175000</v>
      </c>
      <c r="I25" s="444">
        <f>SUM(D25:H25)</f>
        <v>2123553</v>
      </c>
      <c r="J25" s="445">
        <f>SUM(N7,E25:H25)</f>
        <v>8278090</v>
      </c>
      <c r="K25" s="337">
        <f>+I25-I33</f>
        <v>347291</v>
      </c>
      <c r="L25" s="446">
        <v>995000</v>
      </c>
      <c r="M25" s="447">
        <v>277000</v>
      </c>
      <c r="N25" s="448">
        <f>SUM(K25:M25)</f>
        <v>1619291</v>
      </c>
      <c r="O25" s="449">
        <v>650000</v>
      </c>
      <c r="P25" s="449">
        <v>100000</v>
      </c>
      <c r="Q25" s="444">
        <f>SUM(D7:E7,G7:K7,E25:H25,L25:M25)+O25+P25</f>
        <v>10300090</v>
      </c>
      <c r="AB25"/>
    </row>
    <row r="26" spans="2:28" ht="18">
      <c r="B26" s="384"/>
      <c r="C26" s="450" t="s">
        <v>427</v>
      </c>
      <c r="D26" s="348">
        <f>SUM(O8)</f>
        <v>2655650</v>
      </c>
      <c r="E26" s="451">
        <v>14400000</v>
      </c>
      <c r="F26" s="451">
        <v>1100000</v>
      </c>
      <c r="G26" s="451">
        <f>SUM(E26:F26)*-0.01</f>
        <v>-155000</v>
      </c>
      <c r="H26" s="407">
        <v>-175000</v>
      </c>
      <c r="I26" s="452">
        <f>SUM(D26:H26)</f>
        <v>17825650</v>
      </c>
      <c r="J26" s="452">
        <f>SUM(N8,E26:H26)</f>
        <v>49984000</v>
      </c>
      <c r="K26" s="348">
        <f>+I26-I34</f>
        <v>529096</v>
      </c>
      <c r="L26" s="453">
        <f>14827000+73000</f>
        <v>14900000</v>
      </c>
      <c r="M26" s="454">
        <v>-277000</v>
      </c>
      <c r="N26" s="455">
        <f>SUM(K26:M26)</f>
        <v>15152096</v>
      </c>
      <c r="O26" s="456">
        <v>15250000</v>
      </c>
      <c r="P26" s="456">
        <f>2241910-73000</f>
        <v>2168910</v>
      </c>
      <c r="Q26" s="452">
        <f>SUM(D8:E8,G8:K8,E26:H26,L26:M26)+O26+P26</f>
        <v>82025910</v>
      </c>
      <c r="AB26"/>
    </row>
    <row r="27" spans="2:28" ht="18">
      <c r="B27" s="384"/>
      <c r="C27" s="457" t="s">
        <v>91</v>
      </c>
      <c r="D27" s="458"/>
      <c r="E27" s="459"/>
      <c r="F27" s="459"/>
      <c r="G27" s="459"/>
      <c r="H27" s="459"/>
      <c r="I27" s="460"/>
      <c r="J27" s="460">
        <f>SUM(N9)</f>
        <v>75000</v>
      </c>
      <c r="K27" s="458"/>
      <c r="L27" s="461"/>
      <c r="M27" s="462"/>
      <c r="N27" s="461"/>
      <c r="O27" s="460"/>
      <c r="P27" s="460"/>
      <c r="Q27" s="463">
        <v>75000</v>
      </c>
      <c r="AB27"/>
    </row>
    <row r="28" spans="2:28" ht="18.75" thickBot="1">
      <c r="B28" s="384"/>
      <c r="C28" s="6"/>
      <c r="D28" s="343">
        <f aca="true" t="shared" si="2" ref="D28:Q28">SUM(D25:D27)</f>
        <v>2930113</v>
      </c>
      <c r="E28" s="343">
        <f t="shared" si="2"/>
        <v>15900000</v>
      </c>
      <c r="F28" s="343">
        <f t="shared" si="2"/>
        <v>1291000</v>
      </c>
      <c r="G28" s="343">
        <f t="shared" si="2"/>
        <v>-171910</v>
      </c>
      <c r="H28" s="343">
        <f t="shared" si="2"/>
        <v>0</v>
      </c>
      <c r="I28" s="373">
        <f t="shared" si="2"/>
        <v>19949203</v>
      </c>
      <c r="J28" s="373">
        <f>SUM(J25:J27)</f>
        <v>58337090</v>
      </c>
      <c r="K28" s="342">
        <f t="shared" si="2"/>
        <v>876387</v>
      </c>
      <c r="L28" s="464">
        <f t="shared" si="2"/>
        <v>15895000</v>
      </c>
      <c r="M28" s="465">
        <f t="shared" si="2"/>
        <v>0</v>
      </c>
      <c r="N28" s="466">
        <f t="shared" si="2"/>
        <v>16771387</v>
      </c>
      <c r="O28" s="467">
        <f t="shared" si="2"/>
        <v>15900000</v>
      </c>
      <c r="P28" s="467">
        <f t="shared" si="2"/>
        <v>2268910</v>
      </c>
      <c r="Q28" s="468">
        <f t="shared" si="2"/>
        <v>92401000</v>
      </c>
      <c r="AB28"/>
    </row>
    <row r="29" spans="2:28" ht="18">
      <c r="B29" s="384"/>
      <c r="C29" s="6"/>
      <c r="D29" s="6"/>
      <c r="E29" s="6"/>
      <c r="F29" s="3"/>
      <c r="G29" s="5"/>
      <c r="H29" s="5"/>
      <c r="I29" s="5"/>
      <c r="J29" s="5"/>
      <c r="K29" s="2"/>
      <c r="L29" s="2"/>
      <c r="N29" s="379">
        <f>SUM(J28,L28)</f>
        <v>74232090</v>
      </c>
      <c r="O29" s="379">
        <f>+N29+O28</f>
        <v>90132090</v>
      </c>
      <c r="P29" s="379">
        <f>+O29+P28</f>
        <v>92401000</v>
      </c>
      <c r="Q29" s="400"/>
      <c r="AB29"/>
    </row>
    <row r="30" spans="2:28" ht="18.75" thickBot="1">
      <c r="B30" s="384"/>
      <c r="C30" s="6"/>
      <c r="D30" s="6"/>
      <c r="E30" s="6"/>
      <c r="F30" s="3"/>
      <c r="G30" s="5"/>
      <c r="H30" s="5"/>
      <c r="I30" s="469"/>
      <c r="J30" s="5"/>
      <c r="K30" s="2"/>
      <c r="L30" s="2"/>
      <c r="N30" s="2"/>
      <c r="O30" s="2"/>
      <c r="P30" s="2"/>
      <c r="Q30" s="400"/>
      <c r="AB30"/>
    </row>
    <row r="31" spans="2:28" ht="28.5" thickTop="1">
      <c r="B31" s="384"/>
      <c r="C31" s="322" t="s">
        <v>213</v>
      </c>
      <c r="D31" s="6"/>
      <c r="G31" s="5"/>
      <c r="H31" s="317" t="s">
        <v>429</v>
      </c>
      <c r="I31" s="238" t="s">
        <v>80</v>
      </c>
      <c r="J31" s="317" t="s">
        <v>429</v>
      </c>
      <c r="K31" s="470"/>
      <c r="M31"/>
      <c r="N31" s="2"/>
      <c r="O31" s="2"/>
      <c r="P31" s="2"/>
      <c r="AB31"/>
    </row>
    <row r="32" spans="2:28" ht="18">
      <c r="B32" s="471"/>
      <c r="G32" s="2"/>
      <c r="H32" s="330" t="s">
        <v>421</v>
      </c>
      <c r="I32" s="238" t="s">
        <v>213</v>
      </c>
      <c r="J32" s="330" t="s">
        <v>441</v>
      </c>
      <c r="K32" s="380"/>
      <c r="N32" s="2"/>
      <c r="O32" s="2"/>
      <c r="AB32"/>
    </row>
    <row r="33" spans="2:28" ht="18">
      <c r="B33" s="471"/>
      <c r="G33" s="254" t="s">
        <v>426</v>
      </c>
      <c r="H33" s="352">
        <v>6154537</v>
      </c>
      <c r="I33" s="472">
        <v>1776262</v>
      </c>
      <c r="J33" s="352">
        <f>+I33+H33</f>
        <v>7930799</v>
      </c>
      <c r="K33" s="2"/>
      <c r="N33" s="2"/>
      <c r="O33" s="2"/>
      <c r="AB33"/>
    </row>
    <row r="34" spans="2:28" ht="18">
      <c r="B34" s="471"/>
      <c r="G34" s="346" t="s">
        <v>427</v>
      </c>
      <c r="H34" s="352">
        <v>32233350</v>
      </c>
      <c r="I34" s="381">
        <v>17296554</v>
      </c>
      <c r="J34" s="352">
        <f>+I34+H34</f>
        <v>49529904</v>
      </c>
      <c r="K34" s="2"/>
      <c r="N34" s="2"/>
      <c r="O34" s="2"/>
      <c r="AB34"/>
    </row>
    <row r="35" spans="2:28" ht="18">
      <c r="B35" s="471"/>
      <c r="G35" s="401" t="s">
        <v>430</v>
      </c>
      <c r="H35" s="341">
        <v>0</v>
      </c>
      <c r="I35" s="381"/>
      <c r="J35" s="341">
        <v>0</v>
      </c>
      <c r="K35" s="2"/>
      <c r="N35" s="2"/>
      <c r="O35" s="2"/>
      <c r="AB35"/>
    </row>
    <row r="36" spans="7:15" ht="12.75">
      <c r="G36" s="401" t="s">
        <v>432</v>
      </c>
      <c r="H36" s="341">
        <v>-75000</v>
      </c>
      <c r="I36" s="381"/>
      <c r="J36" s="341">
        <v>-75000</v>
      </c>
      <c r="K36" s="2"/>
      <c r="N36" s="2"/>
      <c r="O36" s="2"/>
    </row>
    <row r="37" spans="7:15" ht="12.75">
      <c r="G37" s="346" t="s">
        <v>434</v>
      </c>
      <c r="H37" s="352">
        <v>32158350</v>
      </c>
      <c r="I37" s="381"/>
      <c r="J37" s="352">
        <f>SUM(J34:J36)</f>
        <v>49454904</v>
      </c>
      <c r="K37" s="2"/>
      <c r="N37" s="2"/>
      <c r="O37" s="2"/>
    </row>
    <row r="38" spans="7:15" ht="13.5" thickBot="1">
      <c r="G38" s="253" t="s">
        <v>435</v>
      </c>
      <c r="H38" s="412">
        <v>75000</v>
      </c>
      <c r="I38" s="381"/>
      <c r="J38" s="412">
        <v>75000</v>
      </c>
      <c r="K38" s="2"/>
      <c r="N38" s="2"/>
      <c r="O38" s="2"/>
    </row>
    <row r="39" spans="7:15" ht="17.25" thickBot="1" thickTop="1">
      <c r="G39" s="365" t="s">
        <v>95</v>
      </c>
      <c r="H39" s="372">
        <v>38343463</v>
      </c>
      <c r="I39" s="381">
        <f>SUM(I33:I38)</f>
        <v>19072816</v>
      </c>
      <c r="J39" s="372">
        <f>SUM(J33,J37,J38)</f>
        <v>57460703</v>
      </c>
      <c r="K39" s="2" t="s">
        <v>442</v>
      </c>
      <c r="N39" s="2"/>
      <c r="O39" s="2"/>
    </row>
    <row r="40" spans="7:15" ht="15.75" thickTop="1">
      <c r="G40" s="2"/>
      <c r="H40" s="473">
        <f>SUM(H33:H36)</f>
        <v>38312887</v>
      </c>
      <c r="I40" s="474"/>
      <c r="J40" s="473">
        <f>SUM(H40,I39)</f>
        <v>57385703</v>
      </c>
      <c r="K40" s="474" t="s">
        <v>443</v>
      </c>
      <c r="N40" s="2"/>
      <c r="O40" s="2"/>
    </row>
    <row r="41" spans="6:15" ht="12.75">
      <c r="F41" s="2"/>
      <c r="G41" s="2"/>
      <c r="H41" s="2"/>
      <c r="N41" s="2"/>
      <c r="O41" s="2"/>
    </row>
    <row r="42" spans="6:15" ht="12.75">
      <c r="F42" s="2"/>
      <c r="G42" s="2"/>
      <c r="H42" s="2"/>
      <c r="I42" s="2"/>
      <c r="J42" s="2"/>
      <c r="K42" s="2"/>
      <c r="L42" s="2"/>
      <c r="N42" s="2"/>
      <c r="O42" s="2"/>
    </row>
    <row r="43" spans="6:15" ht="12.75">
      <c r="F43" s="2"/>
      <c r="G43" s="2"/>
      <c r="H43" s="2"/>
      <c r="I43" s="2"/>
      <c r="J43" s="2"/>
      <c r="K43" s="2"/>
      <c r="L43" s="2"/>
      <c r="N43" s="2"/>
      <c r="O43" s="2"/>
    </row>
    <row r="44" spans="6:15" ht="12.75">
      <c r="F44" s="2"/>
      <c r="G44" s="2"/>
      <c r="H44" s="2"/>
      <c r="I44" s="2"/>
      <c r="J44" s="2"/>
      <c r="K44" s="2"/>
      <c r="L44" s="2"/>
      <c r="N44" s="2"/>
      <c r="O44" s="2"/>
    </row>
    <row r="45" spans="6:15" ht="12.75">
      <c r="F45" s="2"/>
      <c r="G45" s="2"/>
      <c r="H45" s="2"/>
      <c r="I45" s="2"/>
      <c r="J45" s="2"/>
      <c r="K45" s="2"/>
      <c r="L45" s="2"/>
      <c r="N45" s="2"/>
      <c r="O45" s="2"/>
    </row>
    <row r="46" spans="6:15" ht="12.75">
      <c r="F46" s="2"/>
      <c r="G46" s="2"/>
      <c r="H46" s="2"/>
      <c r="I46" s="2"/>
      <c r="J46" s="2"/>
      <c r="K46" s="2"/>
      <c r="L46" s="2"/>
      <c r="N46" s="2"/>
      <c r="O46" s="2"/>
    </row>
    <row r="47" spans="6:15" ht="12.75">
      <c r="F47" s="2"/>
      <c r="G47" s="2"/>
      <c r="H47" s="2"/>
      <c r="I47" s="2"/>
      <c r="J47" s="2"/>
      <c r="K47" s="2"/>
      <c r="L47" s="2"/>
      <c r="N47" s="2"/>
      <c r="O47" s="2"/>
    </row>
    <row r="48" spans="6:15" ht="12.75">
      <c r="F48" s="2"/>
      <c r="G48" s="2"/>
      <c r="H48" s="2"/>
      <c r="I48" s="2"/>
      <c r="J48" s="2"/>
      <c r="K48" s="2"/>
      <c r="L48" s="2"/>
      <c r="N48" s="2"/>
      <c r="O48" s="2"/>
    </row>
    <row r="49" spans="6:15" ht="12.75">
      <c r="F49" s="2"/>
      <c r="G49" s="2"/>
      <c r="H49" s="2"/>
      <c r="I49" s="2"/>
      <c r="J49" s="2"/>
      <c r="K49" s="2"/>
      <c r="L49" s="2"/>
      <c r="N49" s="2"/>
      <c r="O49" s="2"/>
    </row>
    <row r="50" spans="6:15" ht="12.75">
      <c r="F50" s="2"/>
      <c r="G50" s="2"/>
      <c r="H50" s="2"/>
      <c r="I50" s="2"/>
      <c r="J50" s="2"/>
      <c r="K50" s="2"/>
      <c r="L50" s="2"/>
      <c r="N50" s="2"/>
      <c r="O50" s="2"/>
    </row>
    <row r="51" spans="6:15" ht="12.75">
      <c r="F51" s="2"/>
      <c r="G51" s="2"/>
      <c r="H51" s="2"/>
      <c r="I51" s="2"/>
      <c r="J51" s="2"/>
      <c r="K51" s="2"/>
      <c r="L51" s="2"/>
      <c r="N51" s="2"/>
      <c r="O51" s="2"/>
    </row>
    <row r="52" spans="6:15" ht="12.75">
      <c r="F52" s="2"/>
      <c r="G52" s="2"/>
      <c r="H52" s="2"/>
      <c r="I52" s="2"/>
      <c r="J52" s="2"/>
      <c r="K52" s="2"/>
      <c r="L52" s="2"/>
      <c r="N52" s="2"/>
      <c r="O52" s="2"/>
    </row>
    <row r="53" spans="6:15" ht="12.75">
      <c r="F53" s="2"/>
      <c r="G53" s="2"/>
      <c r="H53" s="2"/>
      <c r="I53" s="2"/>
      <c r="J53" s="2"/>
      <c r="K53" s="2"/>
      <c r="L53" s="2"/>
      <c r="N53" s="2"/>
      <c r="O53" s="2"/>
    </row>
    <row r="54" spans="6:15" ht="12.75">
      <c r="F54" s="2"/>
      <c r="G54" s="2"/>
      <c r="H54" s="2"/>
      <c r="I54" s="2"/>
      <c r="J54" s="2"/>
      <c r="K54" s="2"/>
      <c r="L54" s="2"/>
      <c r="N54" s="2"/>
      <c r="O54" s="2"/>
    </row>
    <row r="55" spans="6:15" ht="12.75">
      <c r="F55" s="2"/>
      <c r="G55" s="2"/>
      <c r="H55" s="2"/>
      <c r="I55" s="2"/>
      <c r="J55" s="2"/>
      <c r="K55" s="2"/>
      <c r="L55" s="2"/>
      <c r="N55" s="2"/>
      <c r="O55" s="2"/>
    </row>
    <row r="56" spans="6:15" ht="12.75">
      <c r="F56" s="2"/>
      <c r="G56" s="2"/>
      <c r="H56" s="2"/>
      <c r="I56" s="2"/>
      <c r="J56" s="2"/>
      <c r="K56" s="2"/>
      <c r="L56" s="2"/>
      <c r="N56" s="2"/>
      <c r="O56" s="2"/>
    </row>
    <row r="57" spans="6:15" ht="12.75">
      <c r="F57" s="2"/>
      <c r="G57" s="2"/>
      <c r="H57" s="2"/>
      <c r="I57" s="2"/>
      <c r="J57" s="2"/>
      <c r="K57" s="2"/>
      <c r="L57" s="2"/>
      <c r="N57" s="2"/>
      <c r="O57" s="2"/>
    </row>
    <row r="58" spans="6:15" ht="12.75">
      <c r="F58" s="2"/>
      <c r="G58" s="2"/>
      <c r="H58" s="2"/>
      <c r="I58" s="2"/>
      <c r="J58" s="2"/>
      <c r="K58" s="2"/>
      <c r="L58" s="2"/>
      <c r="N58" s="2"/>
      <c r="O58" s="2"/>
    </row>
    <row r="59" spans="6:15" ht="12.75">
      <c r="F59" s="2"/>
      <c r="G59" s="2"/>
      <c r="H59" s="2"/>
      <c r="I59" s="2"/>
      <c r="J59" s="2"/>
      <c r="K59" s="2"/>
      <c r="L59" s="2"/>
      <c r="N59" s="2"/>
      <c r="O59" s="2"/>
    </row>
    <row r="60" spans="6:15" ht="12.75">
      <c r="F60" s="2"/>
      <c r="G60" s="2"/>
      <c r="H60" s="2"/>
      <c r="I60" s="2"/>
      <c r="J60" s="2"/>
      <c r="K60" s="2"/>
      <c r="L60" s="2"/>
      <c r="N60" s="2"/>
      <c r="O60" s="2"/>
    </row>
    <row r="61" spans="6:15" ht="12.75">
      <c r="F61" s="2"/>
      <c r="G61" s="2"/>
      <c r="H61" s="2"/>
      <c r="I61" s="2"/>
      <c r="J61" s="2"/>
      <c r="K61" s="2"/>
      <c r="L61" s="2"/>
      <c r="N61" s="2"/>
      <c r="O61" s="2"/>
    </row>
    <row r="62" spans="6:15" ht="12.75">
      <c r="F62" s="2"/>
      <c r="G62" s="2"/>
      <c r="H62" s="2"/>
      <c r="I62" s="2"/>
      <c r="J62" s="2"/>
      <c r="K62" s="2"/>
      <c r="L62" s="2"/>
      <c r="N62" s="2"/>
      <c r="O62" s="2"/>
    </row>
    <row r="63" spans="6:15" ht="12.75">
      <c r="F63" s="2"/>
      <c r="G63" s="2"/>
      <c r="H63" s="2"/>
      <c r="I63" s="2"/>
      <c r="J63" s="2"/>
      <c r="K63" s="2"/>
      <c r="L63" s="2"/>
      <c r="N63" s="2"/>
      <c r="O63" s="2"/>
    </row>
    <row r="64" spans="6:15" ht="12.75">
      <c r="F64" s="2"/>
      <c r="G64" s="2"/>
      <c r="H64" s="2"/>
      <c r="I64" s="2"/>
      <c r="J64" s="2"/>
      <c r="K64" s="2"/>
      <c r="L64" s="2"/>
      <c r="N64" s="2"/>
      <c r="O64" s="2"/>
    </row>
    <row r="65" spans="6:15" ht="12.75">
      <c r="F65" s="2"/>
      <c r="G65" s="2"/>
      <c r="H65" s="2"/>
      <c r="I65" s="2"/>
      <c r="J65" s="2"/>
      <c r="K65" s="2"/>
      <c r="L65" s="2"/>
      <c r="N65" s="2"/>
      <c r="O65" s="2"/>
    </row>
    <row r="66" spans="6:15" ht="12.75">
      <c r="F66" s="2"/>
      <c r="G66" s="2"/>
      <c r="H66" s="2"/>
      <c r="I66" s="2"/>
      <c r="J66" s="2"/>
      <c r="K66" s="2"/>
      <c r="L66" s="2"/>
      <c r="N66" s="2"/>
      <c r="O66" s="2"/>
    </row>
    <row r="67" spans="6:15" ht="12.75">
      <c r="F67" s="2"/>
      <c r="G67" s="2"/>
      <c r="H67" s="2"/>
      <c r="I67" s="2"/>
      <c r="J67" s="2"/>
      <c r="K67" s="2"/>
      <c r="L67" s="2"/>
      <c r="N67" s="2"/>
      <c r="O67" s="2"/>
    </row>
    <row r="68" spans="6:15" ht="12.75">
      <c r="F68" s="2"/>
      <c r="G68" s="2"/>
      <c r="H68" s="2"/>
      <c r="I68" s="2"/>
      <c r="J68" s="2"/>
      <c r="K68" s="2"/>
      <c r="L68" s="2"/>
      <c r="N68" s="2"/>
      <c r="O68" s="2"/>
    </row>
    <row r="69" spans="6:15" ht="12.75">
      <c r="F69" s="2"/>
      <c r="G69" s="2"/>
      <c r="H69" s="2"/>
      <c r="I69" s="2"/>
      <c r="J69" s="2"/>
      <c r="K69" s="2"/>
      <c r="L69" s="2"/>
      <c r="N69" s="2"/>
      <c r="O69" s="2"/>
    </row>
    <row r="70" spans="6:15" ht="12.75">
      <c r="F70" s="2"/>
      <c r="G70" s="2"/>
      <c r="H70" s="2"/>
      <c r="I70" s="2"/>
      <c r="J70" s="2"/>
      <c r="K70" s="2"/>
      <c r="L70" s="2"/>
      <c r="N70" s="2"/>
      <c r="O70" s="2"/>
    </row>
    <row r="71" spans="6:15" ht="12.75">
      <c r="F71" s="2"/>
      <c r="G71" s="2"/>
      <c r="H71" s="2"/>
      <c r="I71" s="2"/>
      <c r="J71" s="2"/>
      <c r="K71" s="2"/>
      <c r="L71" s="2"/>
      <c r="N71" s="2"/>
      <c r="O71" s="2"/>
    </row>
    <row r="72" spans="6:15" ht="12.75">
      <c r="F72" s="2"/>
      <c r="G72" s="2"/>
      <c r="H72" s="2"/>
      <c r="I72" s="2"/>
      <c r="J72" s="2"/>
      <c r="K72" s="2"/>
      <c r="L72" s="2"/>
      <c r="N72" s="2"/>
      <c r="O72" s="2"/>
    </row>
    <row r="73" spans="6:15" ht="12.75">
      <c r="F73" s="2"/>
      <c r="G73" s="2"/>
      <c r="H73" s="2"/>
      <c r="I73" s="2"/>
      <c r="J73" s="2"/>
      <c r="K73" s="2"/>
      <c r="L73" s="2"/>
      <c r="N73" s="2"/>
      <c r="O73" s="2"/>
    </row>
    <row r="74" spans="6:15" ht="12.75">
      <c r="F74" s="2"/>
      <c r="G74" s="2"/>
      <c r="H74" s="2"/>
      <c r="I74" s="2"/>
      <c r="J74" s="2"/>
      <c r="K74" s="2"/>
      <c r="L74" s="2"/>
      <c r="N74" s="2"/>
      <c r="O74" s="2"/>
    </row>
  </sheetData>
  <printOptions/>
  <pageMargins left="0.21" right="0.17" top="0.81" bottom="0.3" header="0.5" footer="0.12"/>
  <pageSetup horizontalDpi="600" verticalDpi="600" orientation="landscape" scale="70" r:id="rId2"/>
  <headerFooter alignWithMargins="0">
    <oddFooter>&amp;R&amp;F               &amp;A    &amp;D    &amp;T</oddFooter>
  </headerFooter>
  <drawing r:id="rId1"/>
</worksheet>
</file>

<file path=xl/worksheets/sheet2.xml><?xml version="1.0" encoding="utf-8"?>
<worksheet xmlns="http://schemas.openxmlformats.org/spreadsheetml/2006/main" xmlns:r="http://schemas.openxmlformats.org/officeDocument/2006/relationships">
  <dimension ref="A1:G16"/>
  <sheetViews>
    <sheetView workbookViewId="0" topLeftCell="A1">
      <selection activeCell="A1" sqref="A1"/>
    </sheetView>
  </sheetViews>
  <sheetFormatPr defaultColWidth="9.140625" defaultRowHeight="12.75"/>
  <cols>
    <col min="1" max="1" width="9.140625" style="239" customWidth="1"/>
    <col min="2" max="2" width="11.28125" style="239" customWidth="1"/>
    <col min="3" max="3" width="11.57421875" style="239" customWidth="1"/>
    <col min="4" max="4" width="31.00390625" style="239" customWidth="1"/>
    <col min="5" max="5" width="9.57421875" style="239" customWidth="1"/>
    <col min="6" max="6" width="40.8515625" style="243" customWidth="1"/>
    <col min="7" max="7" width="15.57421875" style="241" customWidth="1"/>
    <col min="8" max="8" width="8.8515625" style="239" customWidth="1"/>
    <col min="9" max="9" width="30.7109375" style="239" customWidth="1"/>
    <col min="10" max="10" width="8.57421875" style="239" customWidth="1"/>
    <col min="11" max="11" width="27.57421875" style="239" customWidth="1"/>
    <col min="12" max="12" width="1.421875" style="239" customWidth="1"/>
    <col min="13" max="13" width="9.140625" style="239" customWidth="1"/>
    <col min="14" max="14" width="28.57421875" style="239" customWidth="1"/>
    <col min="15" max="16384" width="9.140625" style="239" customWidth="1"/>
  </cols>
  <sheetData>
    <row r="1" spans="3:7" ht="18">
      <c r="C1" s="251" t="s">
        <v>227</v>
      </c>
      <c r="D1" s="496"/>
      <c r="E1" s="497"/>
      <c r="F1" s="498"/>
      <c r="G1" s="239"/>
    </row>
    <row r="2" spans="3:7" ht="12.75">
      <c r="C2" s="499"/>
      <c r="D2" s="500"/>
      <c r="E2" s="493"/>
      <c r="F2" s="501"/>
      <c r="G2" s="242"/>
    </row>
    <row r="3" spans="2:7" ht="12.75">
      <c r="B3" s="240"/>
      <c r="C3" s="499" t="s">
        <v>211</v>
      </c>
      <c r="D3" s="500"/>
      <c r="E3" s="493"/>
      <c r="F3" s="501"/>
      <c r="G3" s="242"/>
    </row>
    <row r="4" spans="1:7" ht="30" customHeight="1">
      <c r="A4" s="239">
        <v>140</v>
      </c>
      <c r="C4" s="499">
        <v>142</v>
      </c>
      <c r="D4" s="500" t="s">
        <v>475</v>
      </c>
      <c r="E4" s="494">
        <f>282+435</f>
        <v>717</v>
      </c>
      <c r="F4" s="501" t="s">
        <v>476</v>
      </c>
      <c r="G4" s="248"/>
    </row>
    <row r="5" spans="1:7" ht="30" customHeight="1">
      <c r="A5" s="239">
        <v>141</v>
      </c>
      <c r="C5" s="499">
        <v>142</v>
      </c>
      <c r="D5" s="500" t="s">
        <v>471</v>
      </c>
      <c r="E5" s="494">
        <f>226</f>
        <v>226</v>
      </c>
      <c r="F5" s="501" t="s">
        <v>480</v>
      </c>
      <c r="G5" s="242"/>
    </row>
    <row r="6" spans="1:7" ht="30" customHeight="1">
      <c r="A6" s="239">
        <v>142</v>
      </c>
      <c r="C6" s="499">
        <v>142</v>
      </c>
      <c r="D6" s="500" t="s">
        <v>483</v>
      </c>
      <c r="E6" s="494">
        <v>121</v>
      </c>
      <c r="F6" s="501" t="s">
        <v>470</v>
      </c>
      <c r="G6" s="242"/>
    </row>
    <row r="7" spans="1:7" ht="30" customHeight="1">
      <c r="A7" s="240">
        <v>411</v>
      </c>
      <c r="C7" s="499">
        <v>411</v>
      </c>
      <c r="D7" s="500" t="s">
        <v>468</v>
      </c>
      <c r="E7" s="494">
        <f>-102-48-229</f>
        <v>-379</v>
      </c>
      <c r="F7" s="501" t="s">
        <v>469</v>
      </c>
      <c r="G7" s="242"/>
    </row>
    <row r="8" spans="1:7" ht="30" customHeight="1">
      <c r="A8" s="239">
        <v>441</v>
      </c>
      <c r="C8" s="499">
        <v>441</v>
      </c>
      <c r="D8" s="500" t="s">
        <v>467</v>
      </c>
      <c r="E8" s="494">
        <v>-74</v>
      </c>
      <c r="F8" s="501" t="s">
        <v>481</v>
      </c>
      <c r="G8" s="242"/>
    </row>
    <row r="9" spans="1:7" ht="30" customHeight="1">
      <c r="A9" s="239">
        <v>452</v>
      </c>
      <c r="C9" s="499">
        <v>452</v>
      </c>
      <c r="D9" s="500" t="s">
        <v>465</v>
      </c>
      <c r="E9" s="494">
        <v>-177</v>
      </c>
      <c r="F9" s="501" t="s">
        <v>466</v>
      </c>
      <c r="G9" s="252"/>
    </row>
    <row r="10" spans="1:7" ht="30" customHeight="1">
      <c r="A10" s="239">
        <v>810</v>
      </c>
      <c r="C10" s="499">
        <v>81</v>
      </c>
      <c r="D10" s="500" t="s">
        <v>482</v>
      </c>
      <c r="E10" s="494">
        <v>-170</v>
      </c>
      <c r="F10" s="501" t="s">
        <v>477</v>
      </c>
      <c r="G10" s="242"/>
    </row>
    <row r="11" spans="1:7" ht="30" customHeight="1">
      <c r="A11" s="239">
        <v>820</v>
      </c>
      <c r="C11" s="499">
        <v>82</v>
      </c>
      <c r="D11" s="500" t="s">
        <v>478</v>
      </c>
      <c r="E11" s="494">
        <f>151-24</f>
        <v>127</v>
      </c>
      <c r="F11" s="501" t="s">
        <v>479</v>
      </c>
      <c r="G11" s="242"/>
    </row>
    <row r="12" spans="1:7" ht="30" customHeight="1">
      <c r="A12" s="239">
        <v>900</v>
      </c>
      <c r="C12" s="502" t="s">
        <v>472</v>
      </c>
      <c r="D12" s="496" t="s">
        <v>473</v>
      </c>
      <c r="E12" s="496">
        <v>-391</v>
      </c>
      <c r="F12" s="503" t="s">
        <v>474</v>
      </c>
      <c r="G12" s="242"/>
    </row>
    <row r="13" spans="3:7" ht="9" customHeight="1" thickBot="1">
      <c r="C13" s="499"/>
      <c r="D13" s="500"/>
      <c r="E13" s="495"/>
      <c r="F13" s="501"/>
      <c r="G13" s="242"/>
    </row>
    <row r="14" spans="3:7" ht="12.75">
      <c r="C14" s="499"/>
      <c r="D14" s="500"/>
      <c r="E14" s="494">
        <f>SUM(E2:E12)</f>
        <v>0</v>
      </c>
      <c r="F14" s="503"/>
      <c r="G14" s="242"/>
    </row>
    <row r="15" spans="3:7" ht="12.75">
      <c r="C15" s="244"/>
      <c r="D15" s="245"/>
      <c r="E15" s="250"/>
      <c r="F15" s="247"/>
      <c r="G15" s="242"/>
    </row>
    <row r="16" spans="3:7" ht="27" customHeight="1">
      <c r="C16" s="244"/>
      <c r="D16" s="245"/>
      <c r="E16" s="246"/>
      <c r="F16" s="249"/>
      <c r="G16" s="242"/>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B5:M94"/>
  <sheetViews>
    <sheetView zoomScale="50" zoomScaleNormal="50" workbookViewId="0" topLeftCell="C5">
      <selection activeCell="C5" sqref="A1:IV16384"/>
    </sheetView>
  </sheetViews>
  <sheetFormatPr defaultColWidth="9.140625" defaultRowHeight="12.75"/>
  <cols>
    <col min="1" max="1" width="9.140625" style="416" customWidth="1"/>
    <col min="2" max="2" width="11.28125" style="416" bestFit="1" customWidth="1"/>
    <col min="3" max="3" width="5.28125" style="416" bestFit="1" customWidth="1"/>
    <col min="4" max="4" width="47.57421875" style="639" customWidth="1"/>
    <col min="5" max="5" width="25.57421875" style="639" customWidth="1"/>
    <col min="6" max="6" width="27.8515625" style="416" customWidth="1"/>
    <col min="7" max="7" width="15.00390625" style="416" bestFit="1" customWidth="1"/>
    <col min="8" max="8" width="2.421875" style="416" customWidth="1"/>
    <col min="9" max="9" width="15.28125" style="416" customWidth="1"/>
    <col min="10" max="10" width="2.7109375" style="416" customWidth="1"/>
    <col min="11" max="11" width="26.28125" style="416" customWidth="1"/>
    <col min="12" max="12" width="17.28125" style="416" bestFit="1" customWidth="1"/>
    <col min="13" max="13" width="7.8515625" style="416" bestFit="1" customWidth="1"/>
    <col min="14" max="16384" width="9.140625" style="416" customWidth="1"/>
  </cols>
  <sheetData>
    <row r="5" spans="3:13" ht="30.75" thickBot="1">
      <c r="C5" s="546"/>
      <c r="D5" s="594" t="s">
        <v>685</v>
      </c>
      <c r="E5" s="595"/>
      <c r="F5" s="595"/>
      <c r="G5" s="595"/>
      <c r="H5" s="595"/>
      <c r="I5" s="595"/>
      <c r="J5" s="595"/>
      <c r="K5" s="596"/>
      <c r="L5" s="596"/>
      <c r="M5" s="597"/>
    </row>
    <row r="6" spans="2:13" ht="60.75">
      <c r="B6" s="598"/>
      <c r="C6" s="599"/>
      <c r="D6" s="599"/>
      <c r="E6" s="600" t="s">
        <v>661</v>
      </c>
      <c r="F6" s="601" t="s">
        <v>686</v>
      </c>
      <c r="G6" s="602"/>
      <c r="H6" s="603" t="s">
        <v>207</v>
      </c>
      <c r="I6" s="603" t="s">
        <v>207</v>
      </c>
      <c r="J6" s="603" t="s">
        <v>207</v>
      </c>
      <c r="K6" s="601" t="s">
        <v>687</v>
      </c>
      <c r="L6" s="602"/>
      <c r="M6" s="597"/>
    </row>
    <row r="7" spans="2:13" ht="20.25">
      <c r="B7" s="598"/>
      <c r="C7" s="546"/>
      <c r="D7" s="604" t="s">
        <v>211</v>
      </c>
      <c r="E7" s="605"/>
      <c r="F7" s="606" t="s">
        <v>214</v>
      </c>
      <c r="G7" s="607" t="s">
        <v>114</v>
      </c>
      <c r="H7" s="608"/>
      <c r="I7" s="608"/>
      <c r="J7" s="608"/>
      <c r="K7" s="606" t="s">
        <v>214</v>
      </c>
      <c r="L7" s="607" t="s">
        <v>114</v>
      </c>
      <c r="M7" s="546"/>
    </row>
    <row r="8" spans="2:13" ht="20.25">
      <c r="B8" s="598"/>
      <c r="C8" s="609">
        <v>12</v>
      </c>
      <c r="D8" s="609" t="s">
        <v>332</v>
      </c>
      <c r="E8" s="610">
        <v>360.73726113000004</v>
      </c>
      <c r="F8" s="611">
        <v>52.72112306590229</v>
      </c>
      <c r="G8" s="612">
        <v>0.14614826009587906</v>
      </c>
      <c r="H8" s="613"/>
      <c r="I8" s="613"/>
      <c r="J8" s="613"/>
      <c r="K8" s="614">
        <v>180.36863056500002</v>
      </c>
      <c r="L8" s="612">
        <v>0.5</v>
      </c>
      <c r="M8" s="615"/>
    </row>
    <row r="9" spans="2:13" ht="20.25">
      <c r="B9" s="598"/>
      <c r="C9" s="609">
        <v>13</v>
      </c>
      <c r="D9" s="609" t="s">
        <v>215</v>
      </c>
      <c r="E9" s="610">
        <v>2375.7077952</v>
      </c>
      <c r="F9" s="611">
        <v>240.9259520296772</v>
      </c>
      <c r="G9" s="612">
        <v>0.10141228332729142</v>
      </c>
      <c r="H9" s="613"/>
      <c r="I9" s="613"/>
      <c r="J9" s="613"/>
      <c r="K9" s="614">
        <v>1114.55388044</v>
      </c>
      <c r="L9" s="612">
        <v>0.4691460299502746</v>
      </c>
      <c r="M9" s="615"/>
    </row>
    <row r="10" spans="2:13" ht="20.25">
      <c r="B10" s="598"/>
      <c r="C10" s="609">
        <v>14</v>
      </c>
      <c r="D10" s="609" t="s">
        <v>333</v>
      </c>
      <c r="E10" s="610">
        <v>6981.913316599027</v>
      </c>
      <c r="F10" s="611">
        <v>667.3342031408893</v>
      </c>
      <c r="G10" s="612">
        <v>0.09558041941803364</v>
      </c>
      <c r="H10" s="613"/>
      <c r="I10" s="613"/>
      <c r="J10" s="613"/>
      <c r="K10" s="614">
        <v>2576.482400645093</v>
      </c>
      <c r="L10" s="612">
        <v>0.3690223988487053</v>
      </c>
      <c r="M10" s="615"/>
    </row>
    <row r="11" spans="2:13" ht="20.25">
      <c r="B11" s="598"/>
      <c r="C11" s="609">
        <v>15</v>
      </c>
      <c r="D11" s="609" t="s">
        <v>334</v>
      </c>
      <c r="E11" s="610">
        <v>1234.6223</v>
      </c>
      <c r="F11" s="611">
        <v>291.07792138425265</v>
      </c>
      <c r="G11" s="612">
        <v>0.23576272790816483</v>
      </c>
      <c r="H11" s="613"/>
      <c r="I11" s="613"/>
      <c r="J11" s="613"/>
      <c r="K11" s="614">
        <v>1132.122468</v>
      </c>
      <c r="L11" s="612">
        <v>0.9169787942433892</v>
      </c>
      <c r="M11" s="615"/>
    </row>
    <row r="12" spans="2:13" ht="20.25">
      <c r="B12" s="598"/>
      <c r="C12" s="609">
        <v>16</v>
      </c>
      <c r="D12" s="609" t="s">
        <v>216</v>
      </c>
      <c r="E12" s="610">
        <v>1143.74</v>
      </c>
      <c r="F12" s="611">
        <v>167.1556110020607</v>
      </c>
      <c r="G12" s="612">
        <v>0.14614826009587906</v>
      </c>
      <c r="H12" s="613"/>
      <c r="I12" s="613"/>
      <c r="J12" s="613"/>
      <c r="K12" s="614">
        <v>571.87</v>
      </c>
      <c r="L12" s="612">
        <v>0.5</v>
      </c>
      <c r="M12" s="615"/>
    </row>
    <row r="13" spans="2:13" ht="20.25">
      <c r="B13" s="598"/>
      <c r="C13" s="609">
        <v>17</v>
      </c>
      <c r="D13" s="609" t="s">
        <v>335</v>
      </c>
      <c r="E13" s="610">
        <v>787.966272</v>
      </c>
      <c r="F13" s="611">
        <v>141.52303946501817</v>
      </c>
      <c r="G13" s="612">
        <v>0.1796054532966332</v>
      </c>
      <c r="H13" s="613"/>
      <c r="I13" s="613"/>
      <c r="J13" s="613"/>
      <c r="K13" s="614">
        <v>1049.676272</v>
      </c>
      <c r="L13" s="612">
        <v>1.3321335053285122</v>
      </c>
      <c r="M13" s="615"/>
    </row>
    <row r="14" spans="2:13" ht="20.25">
      <c r="B14" s="598"/>
      <c r="C14" s="609">
        <v>18</v>
      </c>
      <c r="D14" s="609" t="s">
        <v>217</v>
      </c>
      <c r="E14" s="610">
        <v>3999.89878589</v>
      </c>
      <c r="F14" s="611">
        <v>1475.8023718273635</v>
      </c>
      <c r="G14" s="612">
        <v>0.3689599289445493</v>
      </c>
      <c r="H14" s="613"/>
      <c r="I14" s="613"/>
      <c r="J14" s="613"/>
      <c r="K14" s="614">
        <v>4645.028006728248</v>
      </c>
      <c r="L14" s="612">
        <v>1.1612863863240739</v>
      </c>
      <c r="M14" s="615"/>
    </row>
    <row r="15" spans="2:13" ht="20.25">
      <c r="B15" s="598"/>
      <c r="C15" s="609">
        <v>19</v>
      </c>
      <c r="D15" s="609" t="s">
        <v>336</v>
      </c>
      <c r="E15" s="616">
        <v>576.7641231999996</v>
      </c>
      <c r="F15" s="617">
        <v>33.717229236562076</v>
      </c>
      <c r="G15" s="618">
        <v>0.05845930403835163</v>
      </c>
      <c r="H15" s="619"/>
      <c r="I15" s="619"/>
      <c r="J15" s="619"/>
      <c r="K15" s="620">
        <v>115.35282463999994</v>
      </c>
      <c r="L15" s="618">
        <v>0.2</v>
      </c>
      <c r="M15" s="615"/>
    </row>
    <row r="16" spans="2:13" ht="20.25">
      <c r="B16" s="598"/>
      <c r="C16" s="599">
        <v>1</v>
      </c>
      <c r="D16" s="599" t="s">
        <v>1</v>
      </c>
      <c r="E16" s="621">
        <v>17461.349854019027</v>
      </c>
      <c r="F16" s="622">
        <v>3070.257451151726</v>
      </c>
      <c r="G16" s="623">
        <v>0.1758316210842688</v>
      </c>
      <c r="H16" s="624"/>
      <c r="I16" s="624"/>
      <c r="J16" s="624"/>
      <c r="K16" s="614">
        <v>11385.454483018342</v>
      </c>
      <c r="L16" s="623">
        <v>0.6520374758081939</v>
      </c>
      <c r="M16" s="615"/>
    </row>
    <row r="17" spans="2:13" ht="20.25">
      <c r="B17" s="598"/>
      <c r="C17" s="599">
        <v>2</v>
      </c>
      <c r="D17" s="599" t="s">
        <v>337</v>
      </c>
      <c r="E17" s="621">
        <v>138.2</v>
      </c>
      <c r="F17" s="622">
        <v>12.11861372715029</v>
      </c>
      <c r="G17" s="623">
        <v>0.08768895605752743</v>
      </c>
      <c r="H17" s="624"/>
      <c r="I17" s="624"/>
      <c r="J17" s="624"/>
      <c r="K17" s="614">
        <v>41.46</v>
      </c>
      <c r="L17" s="623">
        <v>0.3</v>
      </c>
      <c r="M17" s="615"/>
    </row>
    <row r="18" spans="2:13" ht="20.25">
      <c r="B18" s="598"/>
      <c r="C18" s="599">
        <v>3</v>
      </c>
      <c r="D18" s="599" t="s">
        <v>338</v>
      </c>
      <c r="E18" s="621">
        <v>196.79896617000003</v>
      </c>
      <c r="F18" s="622">
        <v>18.97552891757673</v>
      </c>
      <c r="G18" s="623">
        <v>0.09642087703441074</v>
      </c>
      <c r="H18" s="624"/>
      <c r="I18" s="624"/>
      <c r="J18" s="624"/>
      <c r="K18" s="614">
        <v>64.91876436000001</v>
      </c>
      <c r="L18" s="623">
        <v>0.32987350301383955</v>
      </c>
      <c r="M18" s="615"/>
    </row>
    <row r="19" spans="2:13" ht="20.25">
      <c r="B19" s="598"/>
      <c r="C19" s="599">
        <v>4</v>
      </c>
      <c r="D19" s="599" t="s">
        <v>339</v>
      </c>
      <c r="E19" s="621">
        <v>1830</v>
      </c>
      <c r="F19" s="622">
        <v>142.7137759836259</v>
      </c>
      <c r="G19" s="623">
        <v>0.0779856699364076</v>
      </c>
      <c r="H19" s="624"/>
      <c r="I19" s="624"/>
      <c r="J19" s="624"/>
      <c r="K19" s="614">
        <v>488.25</v>
      </c>
      <c r="L19" s="623">
        <v>0.2668032786885246</v>
      </c>
      <c r="M19" s="615"/>
    </row>
    <row r="20" spans="2:13" ht="20.25">
      <c r="B20" s="598"/>
      <c r="C20" s="599">
        <v>5</v>
      </c>
      <c r="D20" s="599" t="s">
        <v>340</v>
      </c>
      <c r="E20" s="621">
        <v>753.1</v>
      </c>
      <c r="F20" s="622">
        <v>66.0385528069239</v>
      </c>
      <c r="G20" s="623">
        <v>0.08768895605752743</v>
      </c>
      <c r="H20" s="624"/>
      <c r="I20" s="624"/>
      <c r="J20" s="624"/>
      <c r="K20" s="614">
        <v>225.93</v>
      </c>
      <c r="L20" s="623">
        <v>0.3</v>
      </c>
      <c r="M20" s="615"/>
    </row>
    <row r="21" spans="2:13" ht="20.25">
      <c r="B21" s="598"/>
      <c r="C21" s="599">
        <v>6</v>
      </c>
      <c r="D21" s="599" t="s">
        <v>341</v>
      </c>
      <c r="E21" s="621">
        <v>576</v>
      </c>
      <c r="F21" s="622">
        <v>141.108825343771</v>
      </c>
      <c r="G21" s="623">
        <v>0.244980599555158</v>
      </c>
      <c r="H21" s="624"/>
      <c r="I21" s="624"/>
      <c r="J21" s="624"/>
      <c r="K21" s="614">
        <v>754.2</v>
      </c>
      <c r="L21" s="623">
        <v>1.309375</v>
      </c>
      <c r="M21" s="615"/>
    </row>
    <row r="22" spans="2:13" ht="20.25">
      <c r="B22" s="598"/>
      <c r="C22" s="599">
        <v>7</v>
      </c>
      <c r="D22" s="599" t="s">
        <v>342</v>
      </c>
      <c r="E22" s="621">
        <v>2875.0559359999997</v>
      </c>
      <c r="F22" s="622">
        <v>513.8832922106635</v>
      </c>
      <c r="G22" s="623">
        <v>0.17873853714499124</v>
      </c>
      <c r="H22" s="624"/>
      <c r="I22" s="624"/>
      <c r="J22" s="624"/>
      <c r="K22" s="614">
        <v>1758.088984</v>
      </c>
      <c r="L22" s="623">
        <v>0.6114973145343354</v>
      </c>
      <c r="M22" s="615"/>
    </row>
    <row r="23" spans="2:13" ht="21" thickBot="1">
      <c r="B23" s="598"/>
      <c r="C23" s="599">
        <v>8</v>
      </c>
      <c r="D23" s="599" t="s">
        <v>343</v>
      </c>
      <c r="E23" s="625">
        <v>3237.81033902839</v>
      </c>
      <c r="F23" s="626">
        <v>1024.2886965357782</v>
      </c>
      <c r="G23" s="627">
        <v>0.31635228419313444</v>
      </c>
      <c r="H23" s="624"/>
      <c r="I23" s="624"/>
      <c r="J23" s="624"/>
      <c r="K23" s="628">
        <v>2645.662936241839</v>
      </c>
      <c r="L23" s="629">
        <v>0.817114858258114</v>
      </c>
      <c r="M23" s="615"/>
    </row>
    <row r="24" spans="2:13" ht="21.75" thickBot="1" thickTop="1">
      <c r="B24" s="598"/>
      <c r="C24" s="599"/>
      <c r="D24" s="599"/>
      <c r="E24" s="621">
        <v>27068.31509521742</v>
      </c>
      <c r="F24" s="630">
        <v>4989.384736677215</v>
      </c>
      <c r="G24" s="631">
        <v>0.18432564860894382</v>
      </c>
      <c r="H24" s="632"/>
      <c r="I24" s="632"/>
      <c r="J24" s="632"/>
      <c r="K24" s="633">
        <v>17363.965167620183</v>
      </c>
      <c r="L24" s="634">
        <v>0.6414867385184291</v>
      </c>
      <c r="M24" s="615"/>
    </row>
    <row r="25" spans="2:13" ht="20.25">
      <c r="B25" s="598"/>
      <c r="C25" s="546"/>
      <c r="D25" s="546"/>
      <c r="E25" s="546"/>
      <c r="F25" s="546"/>
      <c r="G25" s="546"/>
      <c r="H25" s="546"/>
      <c r="I25" s="546"/>
      <c r="J25" s="546"/>
      <c r="K25" s="621"/>
      <c r="L25" s="624"/>
      <c r="M25" s="546"/>
    </row>
    <row r="26" spans="2:13" ht="23.25">
      <c r="B26" s="598"/>
      <c r="C26" s="546"/>
      <c r="D26" s="546"/>
      <c r="E26" s="546"/>
      <c r="F26" s="635" t="s">
        <v>673</v>
      </c>
      <c r="G26" s="636">
        <v>60269</v>
      </c>
      <c r="H26" s="636"/>
      <c r="I26" s="636"/>
      <c r="J26" s="636"/>
      <c r="K26" s="635" t="s">
        <v>673</v>
      </c>
      <c r="L26" s="636">
        <v>60269</v>
      </c>
      <c r="M26" s="546"/>
    </row>
    <row r="27" spans="2:13" ht="23.25">
      <c r="B27" s="598"/>
      <c r="C27" s="546"/>
      <c r="D27" s="546"/>
      <c r="E27" s="546"/>
      <c r="F27" s="635" t="s">
        <v>674</v>
      </c>
      <c r="G27" s="636">
        <v>27068.31509521742</v>
      </c>
      <c r="H27" s="636"/>
      <c r="I27" s="636"/>
      <c r="J27" s="636"/>
      <c r="K27" s="635" t="s">
        <v>674</v>
      </c>
      <c r="L27" s="636">
        <v>27068.31509521742</v>
      </c>
      <c r="M27" s="546"/>
    </row>
    <row r="28" spans="2:13" ht="23.25">
      <c r="B28" s="598"/>
      <c r="C28" s="546"/>
      <c r="D28" s="546"/>
      <c r="E28" s="546"/>
      <c r="F28" s="635" t="s">
        <v>679</v>
      </c>
      <c r="G28" s="636">
        <v>4989.384736677215</v>
      </c>
      <c r="H28" s="636"/>
      <c r="I28" s="636"/>
      <c r="J28" s="636"/>
      <c r="K28" s="635" t="s">
        <v>678</v>
      </c>
      <c r="L28" s="636">
        <v>17363.965167620183</v>
      </c>
      <c r="M28" s="637"/>
    </row>
    <row r="29" spans="2:13" ht="24" thickBot="1">
      <c r="B29" s="598"/>
      <c r="C29" s="546"/>
      <c r="D29" s="546"/>
      <c r="E29" s="546"/>
      <c r="F29" s="635" t="s">
        <v>675</v>
      </c>
      <c r="G29" s="638">
        <v>75</v>
      </c>
      <c r="H29" s="636"/>
      <c r="I29" s="636"/>
      <c r="J29" s="636"/>
      <c r="K29" s="635" t="s">
        <v>675</v>
      </c>
      <c r="L29" s="638">
        <v>75</v>
      </c>
      <c r="M29" s="546"/>
    </row>
    <row r="30" spans="2:13" ht="24" hidden="1" thickTop="1">
      <c r="B30" s="598"/>
      <c r="C30" s="546"/>
      <c r="D30" s="546"/>
      <c r="E30" s="546"/>
      <c r="F30" s="635" t="s">
        <v>106</v>
      </c>
      <c r="G30" s="636">
        <v>92401.69983189463</v>
      </c>
      <c r="H30" s="636"/>
      <c r="I30" s="636"/>
      <c r="J30" s="636"/>
      <c r="K30" s="635" t="s">
        <v>106</v>
      </c>
      <c r="L30" s="636">
        <v>104776.2802628376</v>
      </c>
      <c r="M30" s="546"/>
    </row>
    <row r="31" spans="2:10" ht="13.5" hidden="1" thickTop="1">
      <c r="B31" s="598"/>
      <c r="F31" s="546"/>
      <c r="G31" s="640"/>
      <c r="H31" s="640"/>
      <c r="I31" s="640"/>
      <c r="J31" s="640"/>
    </row>
    <row r="32" spans="6:10" ht="13.5" hidden="1" thickTop="1">
      <c r="F32" s="546"/>
      <c r="G32" s="641"/>
      <c r="H32" s="641"/>
      <c r="I32" s="641"/>
      <c r="J32" s="641"/>
    </row>
    <row r="33" spans="6:10" ht="13.5" hidden="1" thickTop="1">
      <c r="F33" s="546"/>
      <c r="G33" s="641"/>
      <c r="H33" s="641"/>
      <c r="I33" s="641"/>
      <c r="J33" s="641"/>
    </row>
    <row r="34" spans="6:10" ht="13.5" hidden="1" thickTop="1">
      <c r="F34" s="546"/>
      <c r="G34" s="641"/>
      <c r="H34" s="641"/>
      <c r="I34" s="641"/>
      <c r="J34" s="641"/>
    </row>
    <row r="35" spans="6:10" ht="13.5" hidden="1" thickTop="1">
      <c r="F35" s="546"/>
      <c r="G35" s="641"/>
      <c r="H35" s="641"/>
      <c r="I35" s="641"/>
      <c r="J35" s="641"/>
    </row>
    <row r="36" spans="6:10" ht="13.5" hidden="1" thickTop="1">
      <c r="F36" s="546"/>
      <c r="G36" s="641"/>
      <c r="H36" s="641"/>
      <c r="I36" s="641"/>
      <c r="J36" s="641"/>
    </row>
    <row r="37" spans="6:10" ht="13.5" hidden="1" thickTop="1">
      <c r="F37" s="546"/>
      <c r="G37" s="641"/>
      <c r="H37" s="641"/>
      <c r="I37" s="641"/>
      <c r="J37" s="641"/>
    </row>
    <row r="38" spans="6:10" ht="13.5" hidden="1" thickTop="1">
      <c r="F38" s="546"/>
      <c r="G38" s="641"/>
      <c r="H38" s="641"/>
      <c r="I38" s="641"/>
      <c r="J38" s="641"/>
    </row>
    <row r="39" spans="6:10" ht="13.5" hidden="1" thickTop="1">
      <c r="F39" s="546"/>
      <c r="G39" s="641"/>
      <c r="H39" s="641"/>
      <c r="I39" s="641"/>
      <c r="J39" s="641"/>
    </row>
    <row r="40" spans="6:10" ht="13.5" hidden="1" thickTop="1">
      <c r="F40" s="546"/>
      <c r="G40" s="641"/>
      <c r="H40" s="641"/>
      <c r="I40" s="641"/>
      <c r="J40" s="641"/>
    </row>
    <row r="41" spans="6:10" ht="13.5" hidden="1" thickTop="1">
      <c r="F41" s="546"/>
      <c r="G41" s="640"/>
      <c r="H41" s="640"/>
      <c r="I41" s="640"/>
      <c r="J41" s="640"/>
    </row>
    <row r="42" spans="6:10" ht="13.5" hidden="1" thickTop="1">
      <c r="F42" s="546"/>
      <c r="G42" s="641"/>
      <c r="H42" s="641"/>
      <c r="I42" s="641"/>
      <c r="J42" s="641"/>
    </row>
    <row r="43" spans="6:10" ht="13.5" hidden="1" thickTop="1">
      <c r="F43" s="546"/>
      <c r="G43" s="641"/>
      <c r="H43" s="641"/>
      <c r="I43" s="641"/>
      <c r="J43" s="641"/>
    </row>
    <row r="44" spans="6:10" ht="13.5" hidden="1" thickTop="1">
      <c r="F44" s="546"/>
      <c r="G44" s="641"/>
      <c r="H44" s="641"/>
      <c r="I44" s="641"/>
      <c r="J44" s="641"/>
    </row>
    <row r="45" spans="6:10" ht="13.5" hidden="1" thickTop="1">
      <c r="F45" s="546"/>
      <c r="G45" s="641"/>
      <c r="H45" s="641"/>
      <c r="I45" s="641"/>
      <c r="J45" s="641"/>
    </row>
    <row r="46" spans="6:10" ht="13.5" hidden="1" thickTop="1">
      <c r="F46" s="546"/>
      <c r="G46" s="641"/>
      <c r="H46" s="641"/>
      <c r="I46" s="641"/>
      <c r="J46" s="641"/>
    </row>
    <row r="47" spans="6:10" ht="13.5" hidden="1" thickTop="1">
      <c r="F47" s="546"/>
      <c r="G47" s="641"/>
      <c r="H47" s="641"/>
      <c r="I47" s="641"/>
      <c r="J47" s="641"/>
    </row>
    <row r="48" spans="6:10" ht="13.5" hidden="1" thickTop="1">
      <c r="F48" s="546"/>
      <c r="G48" s="641"/>
      <c r="H48" s="641"/>
      <c r="I48" s="641"/>
      <c r="J48" s="641"/>
    </row>
    <row r="49" spans="6:10" ht="13.5" hidden="1" thickTop="1">
      <c r="F49" s="546"/>
      <c r="G49" s="641"/>
      <c r="H49" s="641"/>
      <c r="I49" s="641"/>
      <c r="J49" s="641"/>
    </row>
    <row r="50" spans="6:10" ht="13.5" hidden="1" thickTop="1">
      <c r="F50" s="546"/>
      <c r="G50" s="641"/>
      <c r="H50" s="641"/>
      <c r="I50" s="641"/>
      <c r="J50" s="641"/>
    </row>
    <row r="51" spans="6:10" ht="13.5" hidden="1" thickTop="1">
      <c r="F51" s="546"/>
      <c r="G51" s="641"/>
      <c r="H51" s="641"/>
      <c r="I51" s="641"/>
      <c r="J51" s="641"/>
    </row>
    <row r="52" spans="6:10" ht="13.5" hidden="1" thickTop="1">
      <c r="F52" s="546"/>
      <c r="G52" s="641"/>
      <c r="H52" s="641"/>
      <c r="I52" s="641"/>
      <c r="J52" s="641"/>
    </row>
    <row r="53" spans="6:10" ht="13.5" hidden="1" thickTop="1">
      <c r="F53" s="546"/>
      <c r="G53" s="641"/>
      <c r="H53" s="641"/>
      <c r="I53" s="641"/>
      <c r="J53" s="641"/>
    </row>
    <row r="54" spans="6:10" ht="13.5" hidden="1" thickTop="1">
      <c r="F54" s="546"/>
      <c r="G54" s="641"/>
      <c r="H54" s="641"/>
      <c r="I54" s="641"/>
      <c r="J54" s="641"/>
    </row>
    <row r="55" spans="6:10" ht="13.5" hidden="1" thickTop="1">
      <c r="F55" s="546"/>
      <c r="G55" s="641"/>
      <c r="H55" s="641"/>
      <c r="I55" s="641"/>
      <c r="J55" s="641"/>
    </row>
    <row r="56" spans="6:10" ht="13.5" hidden="1" thickTop="1">
      <c r="F56" s="546"/>
      <c r="G56" s="641"/>
      <c r="H56" s="641"/>
      <c r="I56" s="641"/>
      <c r="J56" s="641"/>
    </row>
    <row r="57" spans="3:10" ht="13.5" hidden="1" thickTop="1">
      <c r="C57" s="642"/>
      <c r="D57" s="643"/>
      <c r="E57" s="643"/>
      <c r="F57" s="546"/>
      <c r="G57" s="640"/>
      <c r="H57" s="640"/>
      <c r="I57" s="640"/>
      <c r="J57" s="640"/>
    </row>
    <row r="58" spans="3:10" ht="13.5" hidden="1" thickTop="1">
      <c r="C58" s="644"/>
      <c r="D58" s="645"/>
      <c r="E58" s="645"/>
      <c r="F58" s="546"/>
      <c r="G58" s="641"/>
      <c r="H58" s="641"/>
      <c r="I58" s="641"/>
      <c r="J58" s="641"/>
    </row>
    <row r="59" spans="3:10" ht="13.5" hidden="1" thickTop="1">
      <c r="C59" s="644"/>
      <c r="D59" s="645"/>
      <c r="E59" s="645"/>
      <c r="F59" s="546"/>
      <c r="G59" s="641"/>
      <c r="H59" s="641"/>
      <c r="I59" s="641"/>
      <c r="J59" s="641"/>
    </row>
    <row r="60" spans="3:10" ht="13.5" hidden="1" thickTop="1">
      <c r="C60" s="644"/>
      <c r="D60" s="645"/>
      <c r="E60" s="645"/>
      <c r="F60" s="546"/>
      <c r="G60" s="641"/>
      <c r="H60" s="641"/>
      <c r="I60" s="641"/>
      <c r="J60" s="641"/>
    </row>
    <row r="61" spans="3:10" ht="13.5" hidden="1" thickTop="1">
      <c r="C61" s="644"/>
      <c r="D61" s="645"/>
      <c r="E61" s="645"/>
      <c r="F61" s="546"/>
      <c r="G61" s="641"/>
      <c r="H61" s="641"/>
      <c r="I61" s="641"/>
      <c r="J61" s="641"/>
    </row>
    <row r="62" spans="3:10" ht="13.5" hidden="1" thickTop="1">
      <c r="C62" s="644"/>
      <c r="D62" s="645"/>
      <c r="E62" s="645"/>
      <c r="F62" s="546"/>
      <c r="G62" s="641"/>
      <c r="H62" s="641"/>
      <c r="I62" s="641"/>
      <c r="J62" s="641"/>
    </row>
    <row r="63" spans="3:10" ht="13.5" hidden="1" thickTop="1">
      <c r="C63" s="644"/>
      <c r="D63" s="645"/>
      <c r="E63" s="645"/>
      <c r="F63" s="546"/>
      <c r="G63" s="641"/>
      <c r="H63" s="641"/>
      <c r="I63" s="641"/>
      <c r="J63" s="641"/>
    </row>
    <row r="64" spans="3:10" ht="13.5" hidden="1" thickTop="1">
      <c r="C64" s="644"/>
      <c r="D64" s="645"/>
      <c r="E64" s="645"/>
      <c r="F64" s="546"/>
      <c r="G64" s="641"/>
      <c r="H64" s="641"/>
      <c r="I64" s="641"/>
      <c r="J64" s="641"/>
    </row>
    <row r="65" spans="3:10" ht="13.5" hidden="1" thickTop="1">
      <c r="C65" s="644"/>
      <c r="D65" s="645"/>
      <c r="E65" s="645"/>
      <c r="F65" s="546"/>
      <c r="G65" s="641"/>
      <c r="H65" s="641"/>
      <c r="I65" s="641"/>
      <c r="J65" s="641"/>
    </row>
    <row r="66" spans="3:10" ht="13.5" hidden="1" thickTop="1">
      <c r="C66" s="644"/>
      <c r="D66" s="645"/>
      <c r="E66" s="645"/>
      <c r="F66" s="546"/>
      <c r="G66" s="641"/>
      <c r="H66" s="641"/>
      <c r="I66" s="641"/>
      <c r="J66" s="641"/>
    </row>
    <row r="67" spans="3:10" ht="13.5" hidden="1" thickTop="1">
      <c r="C67" s="644"/>
      <c r="D67" s="646"/>
      <c r="E67" s="646"/>
      <c r="F67" s="546"/>
      <c r="G67" s="640"/>
      <c r="H67" s="640"/>
      <c r="I67" s="640"/>
      <c r="J67" s="640"/>
    </row>
    <row r="68" spans="3:10" ht="13.5" hidden="1" thickTop="1">
      <c r="C68" s="644"/>
      <c r="D68" s="645"/>
      <c r="E68" s="645"/>
      <c r="F68" s="546"/>
      <c r="G68" s="641"/>
      <c r="H68" s="641"/>
      <c r="I68" s="641"/>
      <c r="J68" s="641"/>
    </row>
    <row r="69" spans="3:10" ht="13.5" hidden="1" thickTop="1">
      <c r="C69" s="644"/>
      <c r="D69" s="645"/>
      <c r="E69" s="645"/>
      <c r="F69" s="546"/>
      <c r="G69" s="641"/>
      <c r="H69" s="641"/>
      <c r="I69" s="641"/>
      <c r="J69" s="641"/>
    </row>
    <row r="70" spans="3:10" ht="13.5" hidden="1" thickTop="1">
      <c r="C70" s="644"/>
      <c r="D70" s="645"/>
      <c r="E70" s="645"/>
      <c r="F70" s="546"/>
      <c r="G70" s="641"/>
      <c r="H70" s="641"/>
      <c r="I70" s="641"/>
      <c r="J70" s="641"/>
    </row>
    <row r="71" spans="3:10" ht="13.5" hidden="1" thickTop="1">
      <c r="C71" s="644"/>
      <c r="D71" s="645"/>
      <c r="E71" s="645"/>
      <c r="F71" s="546"/>
      <c r="G71" s="641"/>
      <c r="H71" s="641"/>
      <c r="I71" s="641"/>
      <c r="J71" s="641"/>
    </row>
    <row r="72" spans="3:10" ht="13.5" hidden="1" thickTop="1">
      <c r="C72" s="644"/>
      <c r="D72" s="645"/>
      <c r="E72" s="645"/>
      <c r="F72" s="546"/>
      <c r="G72" s="641"/>
      <c r="H72" s="641"/>
      <c r="I72" s="641"/>
      <c r="J72" s="641"/>
    </row>
    <row r="73" spans="3:10" ht="13.5" hidden="1" thickTop="1">
      <c r="C73" s="644"/>
      <c r="D73" s="645"/>
      <c r="E73" s="645"/>
      <c r="F73" s="546"/>
      <c r="G73" s="641"/>
      <c r="H73" s="641"/>
      <c r="I73" s="641"/>
      <c r="J73" s="641"/>
    </row>
    <row r="74" spans="3:10" ht="13.5" hidden="1" thickTop="1">
      <c r="C74" s="644"/>
      <c r="D74" s="645"/>
      <c r="E74" s="645"/>
      <c r="F74" s="546"/>
      <c r="G74" s="641"/>
      <c r="H74" s="641"/>
      <c r="I74" s="641"/>
      <c r="J74" s="641"/>
    </row>
    <row r="75" spans="3:10" ht="13.5" hidden="1" thickTop="1">
      <c r="C75" s="644"/>
      <c r="D75" s="645"/>
      <c r="E75" s="645"/>
      <c r="F75" s="546"/>
      <c r="G75" s="641"/>
      <c r="H75" s="641"/>
      <c r="I75" s="641"/>
      <c r="J75" s="641"/>
    </row>
    <row r="76" spans="3:10" ht="13.5" hidden="1" thickTop="1">
      <c r="C76" s="644"/>
      <c r="D76" s="645"/>
      <c r="E76" s="645"/>
      <c r="F76" s="546"/>
      <c r="G76" s="641"/>
      <c r="H76" s="641"/>
      <c r="I76" s="641"/>
      <c r="J76" s="641"/>
    </row>
    <row r="77" spans="3:10" ht="13.5" hidden="1" thickTop="1">
      <c r="C77" s="644"/>
      <c r="D77" s="645"/>
      <c r="E77" s="645"/>
      <c r="F77" s="546"/>
      <c r="G77" s="641"/>
      <c r="H77" s="641"/>
      <c r="I77" s="641"/>
      <c r="J77" s="641"/>
    </row>
    <row r="78" spans="3:10" ht="13.5" hidden="1" thickTop="1">
      <c r="C78" s="644"/>
      <c r="D78" s="645"/>
      <c r="E78" s="645"/>
      <c r="F78" s="546"/>
      <c r="G78" s="641"/>
      <c r="H78" s="641"/>
      <c r="I78" s="641"/>
      <c r="J78" s="641"/>
    </row>
    <row r="79" spans="3:10" ht="13.5" hidden="1" thickTop="1">
      <c r="C79" s="644"/>
      <c r="D79" s="646"/>
      <c r="E79" s="646"/>
      <c r="F79" s="546"/>
      <c r="G79" s="640"/>
      <c r="H79" s="640"/>
      <c r="I79" s="640"/>
      <c r="J79" s="640"/>
    </row>
    <row r="80" spans="3:10" ht="13.5" hidden="1" thickTop="1">
      <c r="C80" s="644"/>
      <c r="D80" s="645"/>
      <c r="E80" s="645"/>
      <c r="F80" s="546"/>
      <c r="G80" s="641"/>
      <c r="H80" s="641"/>
      <c r="I80" s="641"/>
      <c r="J80" s="641"/>
    </row>
    <row r="81" spans="3:10" ht="13.5" hidden="1" thickTop="1">
      <c r="C81" s="644"/>
      <c r="D81" s="645"/>
      <c r="E81" s="645"/>
      <c r="F81" s="546"/>
      <c r="G81" s="641"/>
      <c r="H81" s="641"/>
      <c r="I81" s="641"/>
      <c r="J81" s="641"/>
    </row>
    <row r="82" spans="3:10" ht="13.5" hidden="1" thickTop="1">
      <c r="C82" s="644"/>
      <c r="D82" s="645"/>
      <c r="E82" s="645"/>
      <c r="F82" s="546"/>
      <c r="G82" s="641"/>
      <c r="H82" s="641"/>
      <c r="I82" s="641"/>
      <c r="J82" s="641"/>
    </row>
    <row r="83" spans="3:10" ht="13.5" hidden="1" thickTop="1">
      <c r="C83" s="644"/>
      <c r="D83" s="645"/>
      <c r="E83" s="645"/>
      <c r="F83" s="546"/>
      <c r="G83" s="641"/>
      <c r="H83" s="641"/>
      <c r="I83" s="641"/>
      <c r="J83" s="641"/>
    </row>
    <row r="84" spans="3:10" ht="13.5" hidden="1" thickTop="1">
      <c r="C84" s="644"/>
      <c r="D84" s="645"/>
      <c r="E84" s="645"/>
      <c r="F84" s="546"/>
      <c r="G84" s="641"/>
      <c r="H84" s="641"/>
      <c r="I84" s="641"/>
      <c r="J84" s="641"/>
    </row>
    <row r="85" spans="3:10" ht="13.5" hidden="1" thickTop="1">
      <c r="C85" s="644"/>
      <c r="D85" s="645"/>
      <c r="E85" s="645"/>
      <c r="F85" s="546"/>
      <c r="G85" s="641"/>
      <c r="H85" s="641"/>
      <c r="I85" s="641"/>
      <c r="J85" s="641"/>
    </row>
    <row r="86" spans="3:10" ht="13.5" hidden="1" thickTop="1">
      <c r="C86" s="644"/>
      <c r="D86" s="645"/>
      <c r="E86" s="645"/>
      <c r="F86" s="546"/>
      <c r="G86" s="641"/>
      <c r="H86" s="641"/>
      <c r="I86" s="641"/>
      <c r="J86" s="641"/>
    </row>
    <row r="87" spans="3:10" ht="13.5" hidden="1" thickTop="1">
      <c r="C87" s="644"/>
      <c r="D87" s="645"/>
      <c r="E87" s="645"/>
      <c r="F87" s="546"/>
      <c r="G87" s="641"/>
      <c r="H87" s="641"/>
      <c r="I87" s="641"/>
      <c r="J87" s="641"/>
    </row>
    <row r="88" spans="3:10" ht="13.5" hidden="1" thickTop="1">
      <c r="C88" s="644"/>
      <c r="D88" s="645"/>
      <c r="E88" s="645"/>
      <c r="F88" s="546"/>
      <c r="G88" s="641"/>
      <c r="H88" s="641"/>
      <c r="I88" s="641"/>
      <c r="J88" s="641"/>
    </row>
    <row r="89" spans="3:10" ht="13.5" hidden="1" thickTop="1">
      <c r="C89" s="644"/>
      <c r="D89" s="646"/>
      <c r="E89" s="646"/>
      <c r="F89" s="546"/>
      <c r="G89" s="640"/>
      <c r="H89" s="640"/>
      <c r="I89" s="640"/>
      <c r="J89" s="640"/>
    </row>
    <row r="90" spans="3:10" ht="15.75" hidden="1" thickTop="1">
      <c r="C90" s="644"/>
      <c r="D90" s="647"/>
      <c r="E90" s="647"/>
      <c r="F90" s="546"/>
      <c r="G90" s="641"/>
      <c r="H90" s="641"/>
      <c r="I90" s="641"/>
      <c r="J90" s="641"/>
    </row>
    <row r="91" spans="3:10" ht="14.25" hidden="1" thickBot="1" thickTop="1">
      <c r="C91" s="648"/>
      <c r="D91" s="649"/>
      <c r="E91" s="649"/>
      <c r="J91" s="546"/>
    </row>
    <row r="92" ht="13.5" thickTop="1">
      <c r="J92" s="546"/>
    </row>
    <row r="93" spans="4:12" ht="23.25">
      <c r="D93" s="650"/>
      <c r="E93" s="650"/>
      <c r="G93" s="651">
        <f>SUM(G26,G27,G28,G29)-1</f>
        <v>92400.69983189463</v>
      </c>
      <c r="H93" s="651"/>
      <c r="I93" s="651"/>
      <c r="J93" s="652"/>
      <c r="L93" s="651">
        <f>SUM(L26,L27,L28,L29)</f>
        <v>104776.2802628376</v>
      </c>
    </row>
    <row r="94" spans="3:5" ht="12.75">
      <c r="C94" s="653"/>
      <c r="D94" s="650"/>
      <c r="E94" s="650"/>
    </row>
  </sheetData>
  <printOptions/>
  <pageMargins left="0.75" right="0.2" top="1" bottom="1" header="0.5" footer="0.5"/>
  <pageSetup fitToHeight="1" fitToWidth="1"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pageSetUpPr fitToPage="1"/>
  </sheetPr>
  <dimension ref="C3:R40"/>
  <sheetViews>
    <sheetView workbookViewId="0" topLeftCell="A1">
      <selection activeCell="A1" sqref="A1:IV16384"/>
    </sheetView>
  </sheetViews>
  <sheetFormatPr defaultColWidth="9.140625" defaultRowHeight="12.75"/>
  <cols>
    <col min="1" max="2" width="9.140625" style="416" customWidth="1"/>
    <col min="3" max="3" width="30.421875" style="416" customWidth="1"/>
    <col min="4" max="4" width="11.140625" style="416" customWidth="1"/>
    <col min="5" max="5" width="1.28515625" style="416" customWidth="1"/>
    <col min="6" max="6" width="14.00390625" style="416" customWidth="1"/>
    <col min="7" max="7" width="1.28515625" style="416" customWidth="1"/>
    <col min="8" max="8" width="14.00390625" style="416" customWidth="1"/>
    <col min="9" max="9" width="7.00390625" style="416" customWidth="1"/>
    <col min="10" max="10" width="13.140625" style="416" customWidth="1"/>
    <col min="11" max="11" width="1.28515625" style="416" customWidth="1"/>
    <col min="12" max="12" width="11.57421875" style="416" customWidth="1"/>
    <col min="13" max="13" width="1.28515625" style="416" customWidth="1"/>
    <col min="14" max="14" width="13.140625" style="416" customWidth="1"/>
    <col min="15" max="15" width="7.00390625" style="416" customWidth="1"/>
    <col min="16" max="16384" width="9.140625" style="416" customWidth="1"/>
  </cols>
  <sheetData>
    <row r="3" spans="4:14" s="654" customFormat="1" ht="44.25" customHeight="1" thickBot="1">
      <c r="D3" s="655" t="s">
        <v>600</v>
      </c>
      <c r="E3" s="656"/>
      <c r="F3" s="655" t="s">
        <v>599</v>
      </c>
      <c r="G3" s="657"/>
      <c r="H3" s="655" t="s">
        <v>598</v>
      </c>
      <c r="I3" s="657"/>
      <c r="J3" s="655" t="s">
        <v>462</v>
      </c>
      <c r="K3" s="656"/>
      <c r="L3" s="655" t="s">
        <v>224</v>
      </c>
      <c r="M3" s="656"/>
      <c r="N3" s="655" t="s">
        <v>463</v>
      </c>
    </row>
    <row r="4" spans="3:18" ht="12.75">
      <c r="C4" s="658" t="s">
        <v>84</v>
      </c>
      <c r="D4" s="659">
        <f>+F4+H4</f>
        <v>9983.73726113</v>
      </c>
      <c r="E4" s="659"/>
      <c r="F4" s="659">
        <v>9623</v>
      </c>
      <c r="G4" s="659"/>
      <c r="H4" s="659">
        <f>SUM(ContingencyH!AU6)</f>
        <v>360.73726113000004</v>
      </c>
      <c r="I4" s="659"/>
      <c r="J4" s="660">
        <v>-6.7457890433360586</v>
      </c>
      <c r="K4" s="659"/>
      <c r="L4" s="659">
        <f>SUM(H4,J4)</f>
        <v>353.991472086664</v>
      </c>
      <c r="M4" s="659"/>
      <c r="N4" s="659">
        <f aca="true" t="shared" si="0" ref="N4:N20">SUM(L4,F4)</f>
        <v>9976.991472086664</v>
      </c>
      <c r="R4" s="661">
        <v>-6.7457890433360586</v>
      </c>
    </row>
    <row r="5" spans="3:18" ht="12.75">
      <c r="C5" s="658" t="s">
        <v>85</v>
      </c>
      <c r="D5" s="659">
        <f aca="true" t="shared" si="1" ref="D5:D11">+F5+H5</f>
        <v>5332.7077952</v>
      </c>
      <c r="E5" s="659"/>
      <c r="F5" s="659">
        <v>2957</v>
      </c>
      <c r="G5" s="659"/>
      <c r="H5" s="659">
        <f>SUM(ContingencyH!AU7)</f>
        <v>2375.7077952</v>
      </c>
      <c r="I5" s="659"/>
      <c r="J5" s="660">
        <v>-42.65938947942219</v>
      </c>
      <c r="K5" s="659"/>
      <c r="L5" s="659">
        <f aca="true" t="shared" si="2" ref="L5:L19">SUM(H5,J5)</f>
        <v>2333.0484057205776</v>
      </c>
      <c r="M5" s="659"/>
      <c r="N5" s="659">
        <f t="shared" si="0"/>
        <v>5290.048405720578</v>
      </c>
      <c r="R5" s="661">
        <v>-42.65938947942219</v>
      </c>
    </row>
    <row r="6" spans="3:18" ht="12.75">
      <c r="C6" s="658" t="s">
        <v>86</v>
      </c>
      <c r="D6" s="659">
        <f t="shared" si="1"/>
        <v>37117.91331659903</v>
      </c>
      <c r="E6" s="659"/>
      <c r="F6" s="659">
        <v>30136</v>
      </c>
      <c r="G6" s="659"/>
      <c r="H6" s="659">
        <f>SUM(ContingencyH!AU8)</f>
        <v>6981.913316599027</v>
      </c>
      <c r="I6" s="659"/>
      <c r="J6" s="662">
        <v>878.633748977923</v>
      </c>
      <c r="K6" s="659"/>
      <c r="L6" s="659">
        <f t="shared" si="2"/>
        <v>7860.5470655769495</v>
      </c>
      <c r="M6" s="659"/>
      <c r="N6" s="659">
        <f t="shared" si="0"/>
        <v>37996.547065576946</v>
      </c>
      <c r="R6" s="661">
        <v>-185.366251022077</v>
      </c>
    </row>
    <row r="7" spans="3:18" ht="12.75">
      <c r="C7" s="658" t="s">
        <v>87</v>
      </c>
      <c r="D7" s="659">
        <f t="shared" si="1"/>
        <v>1377.6223</v>
      </c>
      <c r="E7" s="659"/>
      <c r="F7" s="659">
        <v>143</v>
      </c>
      <c r="G7" s="659"/>
      <c r="H7" s="659">
        <f>SUM(ContingencyH!AU9)</f>
        <v>1234.6223</v>
      </c>
      <c r="I7" s="659"/>
      <c r="J7" s="660">
        <v>-16.219732897247205</v>
      </c>
      <c r="K7" s="659"/>
      <c r="L7" s="659">
        <f t="shared" si="2"/>
        <v>1218.4025671027528</v>
      </c>
      <c r="M7" s="659"/>
      <c r="N7" s="659">
        <f t="shared" si="0"/>
        <v>1361.4025671027528</v>
      </c>
      <c r="R7" s="661">
        <v>-16.219732897247205</v>
      </c>
    </row>
    <row r="8" spans="3:18" ht="12.75">
      <c r="C8" s="658" t="s">
        <v>88</v>
      </c>
      <c r="D8" s="659">
        <f t="shared" si="1"/>
        <v>1146.74</v>
      </c>
      <c r="E8" s="659"/>
      <c r="F8" s="659">
        <v>3</v>
      </c>
      <c r="G8" s="659"/>
      <c r="H8" s="659">
        <f>SUM(ContingencyH!AU10)</f>
        <v>1143.74</v>
      </c>
      <c r="I8" s="659"/>
      <c r="J8" s="660">
        <v>-4.555805396565821</v>
      </c>
      <c r="K8" s="659"/>
      <c r="L8" s="659">
        <f t="shared" si="2"/>
        <v>1139.1841946034342</v>
      </c>
      <c r="M8" s="659"/>
      <c r="N8" s="659">
        <f t="shared" si="0"/>
        <v>1142.1841946034342</v>
      </c>
      <c r="R8" s="661">
        <v>-4.555805396565821</v>
      </c>
    </row>
    <row r="9" spans="3:18" ht="12.75">
      <c r="C9" s="658" t="s">
        <v>464</v>
      </c>
      <c r="D9" s="659">
        <f t="shared" si="1"/>
        <v>1204.9662720000001</v>
      </c>
      <c r="E9" s="659"/>
      <c r="F9" s="659">
        <v>417</v>
      </c>
      <c r="G9" s="659"/>
      <c r="H9" s="659">
        <f>SUM(ContingencyH!AU11)</f>
        <v>787.966272</v>
      </c>
      <c r="I9" s="659"/>
      <c r="J9" s="660">
        <v>-1.5772144998637232</v>
      </c>
      <c r="K9" s="659"/>
      <c r="L9" s="659">
        <f t="shared" si="2"/>
        <v>786.3890575001362</v>
      </c>
      <c r="M9" s="659"/>
      <c r="N9" s="659">
        <f t="shared" si="0"/>
        <v>1203.3890575001362</v>
      </c>
      <c r="R9" s="661">
        <v>-1.5772144998637232</v>
      </c>
    </row>
    <row r="10" spans="3:18" ht="12.75">
      <c r="C10" s="658" t="s">
        <v>89</v>
      </c>
      <c r="D10" s="659">
        <f t="shared" si="1"/>
        <v>6697.89878589</v>
      </c>
      <c r="E10" s="659"/>
      <c r="F10" s="659">
        <v>2698</v>
      </c>
      <c r="G10" s="659"/>
      <c r="H10" s="659">
        <f>SUM(ContingencyH!AU12)</f>
        <v>3999.89878589</v>
      </c>
      <c r="I10" s="659"/>
      <c r="J10" s="660">
        <v>-94.36895611883347</v>
      </c>
      <c r="K10" s="659"/>
      <c r="L10" s="659">
        <f t="shared" si="2"/>
        <v>3905.5298297711665</v>
      </c>
      <c r="M10" s="659"/>
      <c r="N10" s="659">
        <f t="shared" si="0"/>
        <v>6603.529829771167</v>
      </c>
      <c r="R10" s="661">
        <v>-71.36895611883347</v>
      </c>
    </row>
    <row r="11" spans="3:18" ht="15">
      <c r="C11" s="658" t="s">
        <v>96</v>
      </c>
      <c r="D11" s="663">
        <f t="shared" si="1"/>
        <v>2584.7641231999996</v>
      </c>
      <c r="E11" s="664"/>
      <c r="F11" s="665">
        <v>2008</v>
      </c>
      <c r="G11" s="664"/>
      <c r="H11" s="663">
        <f>SUM(ContingencyH!AU13)</f>
        <v>576.7641231999996</v>
      </c>
      <c r="I11" s="664"/>
      <c r="J11" s="666">
        <v>-5.549557100027256</v>
      </c>
      <c r="K11" s="659"/>
      <c r="L11" s="663">
        <f t="shared" si="2"/>
        <v>571.2145660999723</v>
      </c>
      <c r="M11" s="664"/>
      <c r="N11" s="663">
        <f t="shared" si="0"/>
        <v>2579.214566099972</v>
      </c>
      <c r="R11" s="661">
        <v>-5.549557100027256</v>
      </c>
    </row>
    <row r="12" spans="3:14" ht="12.75">
      <c r="C12" s="667" t="s">
        <v>97</v>
      </c>
      <c r="D12" s="659">
        <f>SUM(D4:D11)</f>
        <v>65446.34985401903</v>
      </c>
      <c r="E12" s="659"/>
      <c r="F12" s="659">
        <f>SUM(F4:F11)</f>
        <v>47985</v>
      </c>
      <c r="G12" s="659"/>
      <c r="H12" s="659">
        <f>SUM(H4:H11)</f>
        <v>17461.349854019027</v>
      </c>
      <c r="I12" s="659"/>
      <c r="J12" s="662">
        <v>706.9573044426272</v>
      </c>
      <c r="K12" s="659"/>
      <c r="L12" s="659">
        <f>SUM(L4:L11)</f>
        <v>18168.307158461655</v>
      </c>
      <c r="M12" s="659"/>
      <c r="N12" s="659">
        <f t="shared" si="0"/>
        <v>66153.30715846166</v>
      </c>
    </row>
    <row r="13" spans="3:18" ht="12.75">
      <c r="C13" s="667" t="s">
        <v>98</v>
      </c>
      <c r="D13" s="659">
        <f>+F13+H13</f>
        <v>486.2</v>
      </c>
      <c r="E13" s="659"/>
      <c r="F13" s="659">
        <v>348</v>
      </c>
      <c r="G13" s="659"/>
      <c r="H13" s="659">
        <f>SUM(ContingencyH!AU15)</f>
        <v>138.2</v>
      </c>
      <c r="I13" s="659"/>
      <c r="J13" s="660"/>
      <c r="K13" s="659"/>
      <c r="L13" s="659">
        <f t="shared" si="2"/>
        <v>138.2</v>
      </c>
      <c r="M13" s="659"/>
      <c r="N13" s="659">
        <f t="shared" si="0"/>
        <v>486.2</v>
      </c>
      <c r="R13" s="661">
        <v>0</v>
      </c>
    </row>
    <row r="14" spans="3:18" ht="12.75">
      <c r="C14" s="667" t="s">
        <v>99</v>
      </c>
      <c r="D14" s="659">
        <f aca="true" t="shared" si="3" ref="D14:D19">+F14+H14</f>
        <v>1004.7989661700001</v>
      </c>
      <c r="E14" s="659"/>
      <c r="F14" s="659">
        <v>808</v>
      </c>
      <c r="G14" s="659"/>
      <c r="H14" s="659">
        <f>SUM(ContingencyH!AU16)</f>
        <v>196.79896617000003</v>
      </c>
      <c r="I14" s="659"/>
      <c r="J14" s="660">
        <v>-3.807161351866994</v>
      </c>
      <c r="K14" s="659"/>
      <c r="L14" s="659">
        <f t="shared" si="2"/>
        <v>192.99180481813303</v>
      </c>
      <c r="M14" s="659"/>
      <c r="N14" s="659">
        <f t="shared" si="0"/>
        <v>1000.991804818133</v>
      </c>
      <c r="R14" s="661">
        <v>-3.807161351866994</v>
      </c>
    </row>
    <row r="15" spans="3:18" ht="12.75">
      <c r="C15" s="667" t="s">
        <v>100</v>
      </c>
      <c r="D15" s="659">
        <f t="shared" si="3"/>
        <v>2544</v>
      </c>
      <c r="E15" s="659"/>
      <c r="F15" s="659">
        <v>714</v>
      </c>
      <c r="G15" s="659"/>
      <c r="H15" s="659">
        <f>SUM(ContingencyH!AU17)</f>
        <v>1830</v>
      </c>
      <c r="I15" s="659"/>
      <c r="J15" s="660">
        <v>-630</v>
      </c>
      <c r="K15" s="659"/>
      <c r="L15" s="659">
        <f t="shared" si="2"/>
        <v>1200</v>
      </c>
      <c r="M15" s="659"/>
      <c r="N15" s="659">
        <f t="shared" si="0"/>
        <v>1914</v>
      </c>
      <c r="P15" s="659">
        <f>SUM(J13:J19)</f>
        <v>-707.365297083674</v>
      </c>
      <c r="R15" s="661">
        <v>0</v>
      </c>
    </row>
    <row r="16" spans="3:18" ht="12.75">
      <c r="C16" s="667" t="s">
        <v>101</v>
      </c>
      <c r="D16" s="659">
        <f t="shared" si="3"/>
        <v>786.1</v>
      </c>
      <c r="E16" s="659"/>
      <c r="F16" s="659">
        <v>33</v>
      </c>
      <c r="G16" s="659"/>
      <c r="H16" s="659">
        <f>SUM(ContingencyH!AU18)</f>
        <v>753.1</v>
      </c>
      <c r="I16" s="659"/>
      <c r="J16" s="660"/>
      <c r="K16" s="659"/>
      <c r="L16" s="659">
        <f t="shared" si="2"/>
        <v>753.1</v>
      </c>
      <c r="M16" s="659"/>
      <c r="N16" s="659">
        <f t="shared" si="0"/>
        <v>786.1</v>
      </c>
      <c r="R16" s="661">
        <v>0</v>
      </c>
    </row>
    <row r="17" spans="3:18" ht="12.75">
      <c r="C17" s="667" t="s">
        <v>102</v>
      </c>
      <c r="D17" s="659">
        <f t="shared" si="3"/>
        <v>600</v>
      </c>
      <c r="E17" s="659"/>
      <c r="F17" s="659">
        <v>24</v>
      </c>
      <c r="G17" s="659"/>
      <c r="H17" s="659">
        <f>SUM(ContingencyH!AU19)</f>
        <v>576</v>
      </c>
      <c r="I17" s="659"/>
      <c r="J17" s="660"/>
      <c r="K17" s="659"/>
      <c r="L17" s="659">
        <f t="shared" si="2"/>
        <v>576</v>
      </c>
      <c r="M17" s="659"/>
      <c r="N17" s="659">
        <f t="shared" si="0"/>
        <v>600</v>
      </c>
      <c r="R17" s="661">
        <v>0</v>
      </c>
    </row>
    <row r="18" spans="3:18" ht="12.75">
      <c r="C18" s="667" t="s">
        <v>103</v>
      </c>
      <c r="D18" s="659">
        <f t="shared" si="3"/>
        <v>3827.0559359999997</v>
      </c>
      <c r="E18" s="659"/>
      <c r="F18" s="659">
        <v>952</v>
      </c>
      <c r="G18" s="659"/>
      <c r="H18" s="659">
        <f>SUM(ContingencyH!AU20)</f>
        <v>2875.0559359999997</v>
      </c>
      <c r="I18" s="659"/>
      <c r="J18" s="660">
        <v>-0.919153720359771</v>
      </c>
      <c r="K18" s="659"/>
      <c r="L18" s="659">
        <f t="shared" si="2"/>
        <v>2874.13678227964</v>
      </c>
      <c r="M18" s="659"/>
      <c r="N18" s="659">
        <f t="shared" si="0"/>
        <v>3826.13678227964</v>
      </c>
      <c r="R18" s="661">
        <v>-0.919153720359771</v>
      </c>
    </row>
    <row r="19" spans="3:18" ht="15.75" thickBot="1">
      <c r="C19" s="667" t="s">
        <v>104</v>
      </c>
      <c r="D19" s="668">
        <f t="shared" si="3"/>
        <v>12642.81033902839</v>
      </c>
      <c r="E19" s="664"/>
      <c r="F19" s="668">
        <v>9405</v>
      </c>
      <c r="G19" s="664"/>
      <c r="H19" s="668">
        <f>SUM(ContingencyH!AU21)</f>
        <v>3237.81033902839</v>
      </c>
      <c r="I19" s="664"/>
      <c r="J19" s="669">
        <v>-72.6389820114473</v>
      </c>
      <c r="K19" s="659"/>
      <c r="L19" s="668">
        <f t="shared" si="2"/>
        <v>3165.1713570169427</v>
      </c>
      <c r="M19" s="664"/>
      <c r="N19" s="670">
        <f t="shared" si="0"/>
        <v>12570.171357016943</v>
      </c>
      <c r="R19" s="661">
        <v>-53.6389820114473</v>
      </c>
    </row>
    <row r="20" spans="3:18" ht="12.75">
      <c r="C20" s="667" t="s">
        <v>105</v>
      </c>
      <c r="D20" s="659">
        <f>SUM(D12:D19)</f>
        <v>87337.31509521743</v>
      </c>
      <c r="E20" s="659"/>
      <c r="F20" s="659">
        <f>SUM(F12:F19)</f>
        <v>60269</v>
      </c>
      <c r="G20" s="659"/>
      <c r="H20" s="659">
        <f>SUM(H12:H19)</f>
        <v>27068.31509521742</v>
      </c>
      <c r="I20" s="659"/>
      <c r="J20" s="660">
        <v>-0.40799264104681754</v>
      </c>
      <c r="K20" s="659"/>
      <c r="L20" s="659">
        <f>SUM(L12:L19)</f>
        <v>27067.907102576366</v>
      </c>
      <c r="M20" s="659"/>
      <c r="N20" s="659">
        <f t="shared" si="0"/>
        <v>87336.90710257637</v>
      </c>
      <c r="R20" s="661"/>
    </row>
    <row r="21" spans="3:15" ht="15">
      <c r="C21" s="667" t="s">
        <v>90</v>
      </c>
      <c r="D21" s="664">
        <f>+H21</f>
        <v>4989</v>
      </c>
      <c r="E21" s="664"/>
      <c r="F21" s="664"/>
      <c r="G21" s="664"/>
      <c r="H21" s="664">
        <v>4989</v>
      </c>
      <c r="I21" s="671">
        <f>+H21/H20</f>
        <v>0.1843114350653279</v>
      </c>
      <c r="J21" s="672">
        <v>0.40799264104681754</v>
      </c>
      <c r="K21" s="659"/>
      <c r="L21" s="664">
        <v>5229</v>
      </c>
      <c r="M21" s="664"/>
      <c r="N21" s="673">
        <v>4991</v>
      </c>
      <c r="O21" s="674"/>
    </row>
    <row r="22" spans="3:14" ht="12.75">
      <c r="C22" s="667" t="s">
        <v>106</v>
      </c>
      <c r="D22" s="659">
        <f>SUM(D20:D21)</f>
        <v>92326.31509521743</v>
      </c>
      <c r="E22" s="659"/>
      <c r="F22" s="659">
        <f>+F20</f>
        <v>60269</v>
      </c>
      <c r="G22" s="659"/>
      <c r="H22" s="659">
        <f>SUM(H20:H21)</f>
        <v>32057.31509521742</v>
      </c>
      <c r="I22" s="659"/>
      <c r="J22" s="660"/>
      <c r="K22" s="659"/>
      <c r="L22" s="659">
        <f>SUM(L20:L21)</f>
        <v>32296.907102576366</v>
      </c>
      <c r="M22" s="659"/>
      <c r="N22" s="675">
        <f>SUM(N20:N21)</f>
        <v>92327.90710257637</v>
      </c>
    </row>
    <row r="23" spans="12:14" ht="5.25" customHeight="1">
      <c r="L23" s="676"/>
      <c r="M23" s="676"/>
      <c r="N23" s="677"/>
    </row>
    <row r="24" spans="3:15" ht="12.75">
      <c r="C24" s="667" t="s">
        <v>91</v>
      </c>
      <c r="D24" s="678">
        <v>75</v>
      </c>
      <c r="E24" s="678"/>
      <c r="F24" s="416">
        <v>75</v>
      </c>
      <c r="G24" s="678"/>
      <c r="H24" s="678"/>
      <c r="I24" s="678"/>
      <c r="N24" s="679">
        <v>75</v>
      </c>
      <c r="O24" s="658"/>
    </row>
    <row r="25" spans="3:15" ht="12.75">
      <c r="C25" s="667"/>
      <c r="D25" s="680">
        <f>SUM(D24,D22)</f>
        <v>92401.31509521743</v>
      </c>
      <c r="E25" s="680"/>
      <c r="F25" s="680">
        <f>SUM(F24,F22)</f>
        <v>60344</v>
      </c>
      <c r="G25" s="680"/>
      <c r="H25" s="680">
        <f>SUM(H22)</f>
        <v>32057.31509521742</v>
      </c>
      <c r="I25" s="680"/>
      <c r="N25" s="680">
        <f>SUM(N24,N22)</f>
        <v>92402.90710257637</v>
      </c>
      <c r="O25" s="658"/>
    </row>
    <row r="26" spans="3:15" ht="5.25" customHeight="1">
      <c r="C26" s="667"/>
      <c r="O26" s="658"/>
    </row>
    <row r="27" spans="3:15" ht="12.75">
      <c r="C27" s="681"/>
      <c r="D27" s="641"/>
      <c r="E27" s="641"/>
      <c r="F27" s="641"/>
      <c r="G27" s="641"/>
      <c r="H27" s="641"/>
      <c r="I27" s="641"/>
      <c r="J27" s="641"/>
      <c r="K27" s="641"/>
      <c r="L27" s="682"/>
      <c r="M27" s="683" t="s">
        <v>224</v>
      </c>
      <c r="N27" s="641">
        <f>SUM(L20)</f>
        <v>27067.907102576366</v>
      </c>
      <c r="O27" s="641"/>
    </row>
    <row r="28" spans="3:14" ht="12.75">
      <c r="C28" s="546"/>
      <c r="D28" s="641"/>
      <c r="E28" s="641"/>
      <c r="F28" s="641"/>
      <c r="G28" s="641"/>
      <c r="H28" s="641">
        <f>SUM(H25,F25)</f>
        <v>92401.31509521742</v>
      </c>
      <c r="I28" s="641"/>
      <c r="J28" s="641"/>
      <c r="K28" s="641"/>
      <c r="L28" s="682"/>
      <c r="M28" s="683" t="s">
        <v>109</v>
      </c>
      <c r="N28" s="641">
        <f>SUM(N21)</f>
        <v>4991</v>
      </c>
    </row>
    <row r="29" spans="8:14" ht="12.75">
      <c r="H29" s="659"/>
      <c r="N29" s="684">
        <f>+N28/N27</f>
        <v>0.18438810141789458</v>
      </c>
    </row>
    <row r="33" spans="3:15" ht="12.75">
      <c r="C33" s="546"/>
      <c r="D33" s="641"/>
      <c r="E33" s="641"/>
      <c r="F33" s="641"/>
      <c r="G33" s="641"/>
      <c r="H33" s="641"/>
      <c r="I33" s="641"/>
      <c r="L33" s="641"/>
      <c r="M33" s="546"/>
      <c r="N33" s="546"/>
      <c r="O33" s="546"/>
    </row>
    <row r="34" spans="4:9" ht="12.75">
      <c r="D34" s="546"/>
      <c r="E34" s="546"/>
      <c r="F34" s="546"/>
      <c r="G34" s="546"/>
      <c r="H34" s="546"/>
      <c r="I34" s="546"/>
    </row>
    <row r="35" spans="4:9" ht="12.75">
      <c r="D35" s="546"/>
      <c r="E35" s="546"/>
      <c r="F35" s="546"/>
      <c r="G35" s="546"/>
      <c r="H35" s="546"/>
      <c r="I35" s="546"/>
    </row>
    <row r="36" spans="3:15" ht="12.75">
      <c r="C36" s="546"/>
      <c r="D36" s="546"/>
      <c r="E36" s="546"/>
      <c r="F36" s="546"/>
      <c r="G36" s="546"/>
      <c r="H36" s="546"/>
      <c r="I36" s="546"/>
      <c r="J36" s="546"/>
      <c r="K36" s="546"/>
      <c r="L36" s="546"/>
      <c r="M36" s="546"/>
      <c r="N36" s="546"/>
      <c r="O36" s="546"/>
    </row>
    <row r="37" spans="3:15" ht="12.75">
      <c r="C37" s="546"/>
      <c r="D37" s="546"/>
      <c r="E37" s="546"/>
      <c r="F37" s="546"/>
      <c r="G37" s="546"/>
      <c r="H37" s="546"/>
      <c r="I37" s="546"/>
      <c r="J37" s="546"/>
      <c r="K37" s="546"/>
      <c r="L37" s="546" t="s">
        <v>107</v>
      </c>
      <c r="M37" s="641">
        <v>36720</v>
      </c>
      <c r="N37" s="546"/>
      <c r="O37" s="546"/>
    </row>
    <row r="38" spans="12:15" ht="12.75">
      <c r="L38" s="546" t="s">
        <v>108</v>
      </c>
      <c r="M38" s="641">
        <v>38313</v>
      </c>
      <c r="N38" s="546"/>
      <c r="O38" s="546"/>
    </row>
    <row r="39" spans="12:18" ht="12.75">
      <c r="L39" s="546" t="s">
        <v>210</v>
      </c>
      <c r="M39" s="685">
        <f>+M37/M38</f>
        <v>0.9584214235377027</v>
      </c>
      <c r="N39" s="546"/>
      <c r="O39" s="546"/>
      <c r="R39" s="659">
        <f>SUM(N24,M38,N27,N28)</f>
        <v>70446.90710257637</v>
      </c>
    </row>
    <row r="40" spans="12:15" ht="12.75">
      <c r="L40" s="546" t="s">
        <v>110</v>
      </c>
      <c r="M40" s="641">
        <f>+M38-M37</f>
        <v>1593</v>
      </c>
      <c r="N40" s="546"/>
      <c r="O40" s="546"/>
    </row>
  </sheetData>
  <printOptions/>
  <pageMargins left="0.75" right="0.75" top="1" bottom="1" header="0.5" footer="0.5"/>
  <pageSetup fitToHeight="1" fitToWidth="1" horizontalDpi="600" verticalDpi="600" orientation="portrait" scale="76" r:id="rId1"/>
</worksheet>
</file>

<file path=xl/worksheets/sheet5.xml><?xml version="1.0" encoding="utf-8"?>
<worksheet xmlns="http://schemas.openxmlformats.org/spreadsheetml/2006/main" xmlns:r="http://schemas.openxmlformats.org/officeDocument/2006/relationships">
  <sheetPr>
    <pageSetUpPr fitToPage="1"/>
  </sheetPr>
  <dimension ref="A1:Q40"/>
  <sheetViews>
    <sheetView workbookViewId="0" topLeftCell="A15">
      <selection activeCell="A15" sqref="A1:IV16384"/>
    </sheetView>
  </sheetViews>
  <sheetFormatPr defaultColWidth="9.140625" defaultRowHeight="12.75"/>
  <cols>
    <col min="1" max="1" width="3.00390625" style="416" bestFit="1" customWidth="1"/>
    <col min="2" max="2" width="6.00390625" style="416" bestFit="1" customWidth="1"/>
    <col min="3" max="3" width="9.00390625" style="416" customWidth="1"/>
    <col min="4" max="4" width="25.140625" style="416" customWidth="1"/>
    <col min="5" max="5" width="33.140625" style="416" customWidth="1"/>
    <col min="6" max="6" width="10.140625" style="416" hidden="1" customWidth="1"/>
    <col min="7" max="7" width="8.57421875" style="416" hidden="1" customWidth="1"/>
    <col min="8" max="8" width="12.140625" style="416" bestFit="1" customWidth="1"/>
    <col min="9" max="10" width="8.57421875" style="775" customWidth="1"/>
    <col min="11" max="11" width="47.28125" style="416" customWidth="1"/>
    <col min="12" max="12" width="4.28125" style="416" hidden="1" customWidth="1"/>
    <col min="13" max="13" width="10.28125" style="416" customWidth="1"/>
    <col min="14" max="14" width="36.00390625" style="416" customWidth="1"/>
    <col min="15" max="16" width="9.8515625" style="416" customWidth="1"/>
    <col min="17" max="17" width="10.00390625" style="416" customWidth="1"/>
    <col min="18" max="16384" width="9.140625" style="416" customWidth="1"/>
  </cols>
  <sheetData>
    <row r="1" spans="1:12" ht="12.75">
      <c r="A1" s="686"/>
      <c r="B1" s="686"/>
      <c r="C1" s="687"/>
      <c r="D1" s="687"/>
      <c r="E1" s="687"/>
      <c r="F1" s="686"/>
      <c r="G1" s="686"/>
      <c r="H1" s="688"/>
      <c r="I1" s="689"/>
      <c r="J1" s="689"/>
      <c r="K1" s="687"/>
      <c r="L1" s="687"/>
    </row>
    <row r="2" spans="1:12" ht="12.75">
      <c r="A2" s="686"/>
      <c r="B2" s="686"/>
      <c r="C2" s="687"/>
      <c r="D2" s="687"/>
      <c r="E2" s="687"/>
      <c r="F2" s="686"/>
      <c r="G2" s="686"/>
      <c r="H2" s="688"/>
      <c r="I2" s="689"/>
      <c r="J2" s="689"/>
      <c r="K2" s="687"/>
      <c r="L2" s="687"/>
    </row>
    <row r="3" spans="1:12" ht="18.75" thickBot="1">
      <c r="A3" s="686"/>
      <c r="B3" s="686"/>
      <c r="C3" s="690" t="s">
        <v>347</v>
      </c>
      <c r="D3" s="687"/>
      <c r="E3" s="687"/>
      <c r="F3" s="686"/>
      <c r="G3" s="686"/>
      <c r="H3" s="688"/>
      <c r="I3" s="689"/>
      <c r="J3" s="689"/>
      <c r="K3" s="687"/>
      <c r="L3" s="687"/>
    </row>
    <row r="4" spans="1:17" s="654" customFormat="1" ht="90" thickBot="1">
      <c r="A4" s="687"/>
      <c r="B4" s="691" t="s">
        <v>348</v>
      </c>
      <c r="C4" s="691" t="s">
        <v>349</v>
      </c>
      <c r="D4" s="691" t="s">
        <v>350</v>
      </c>
      <c r="E4" s="691" t="s">
        <v>351</v>
      </c>
      <c r="F4" s="691" t="s">
        <v>352</v>
      </c>
      <c r="G4" s="691" t="s">
        <v>353</v>
      </c>
      <c r="H4" s="692" t="s">
        <v>354</v>
      </c>
      <c r="I4" s="693" t="s">
        <v>81</v>
      </c>
      <c r="J4" s="693" t="s">
        <v>82</v>
      </c>
      <c r="K4" s="691" t="s">
        <v>212</v>
      </c>
      <c r="L4" s="694" t="s">
        <v>355</v>
      </c>
      <c r="M4" s="695" t="s">
        <v>403</v>
      </c>
      <c r="N4" s="696" t="s">
        <v>703</v>
      </c>
      <c r="O4" s="696" t="s">
        <v>695</v>
      </c>
      <c r="P4" s="696" t="s">
        <v>696</v>
      </c>
      <c r="Q4" s="697" t="s">
        <v>113</v>
      </c>
    </row>
    <row r="5" spans="1:17" ht="51.75" thickBot="1">
      <c r="A5" s="686">
        <v>1</v>
      </c>
      <c r="B5" s="698">
        <v>1</v>
      </c>
      <c r="C5" s="699">
        <v>4501</v>
      </c>
      <c r="D5" s="699" t="s">
        <v>356</v>
      </c>
      <c r="E5" s="699" t="s">
        <v>357</v>
      </c>
      <c r="F5" s="700" t="s">
        <v>358</v>
      </c>
      <c r="G5" s="700" t="s">
        <v>82</v>
      </c>
      <c r="H5" s="701">
        <v>-179</v>
      </c>
      <c r="I5" s="702"/>
      <c r="J5" s="702">
        <f>+H5</f>
        <v>-179</v>
      </c>
      <c r="K5" s="699" t="s">
        <v>359</v>
      </c>
      <c r="L5" s="699" t="s">
        <v>403</v>
      </c>
      <c r="M5" s="703">
        <v>-179</v>
      </c>
      <c r="N5" s="704" t="s">
        <v>704</v>
      </c>
      <c r="O5" s="705"/>
      <c r="P5" s="705"/>
      <c r="Q5" s="706"/>
    </row>
    <row r="6" spans="1:17" ht="64.5" thickBot="1">
      <c r="A6" s="686">
        <v>3</v>
      </c>
      <c r="B6" s="707">
        <v>2</v>
      </c>
      <c r="C6" s="708">
        <v>4401</v>
      </c>
      <c r="D6" s="708" t="s">
        <v>360</v>
      </c>
      <c r="E6" s="708" t="s">
        <v>361</v>
      </c>
      <c r="F6" s="709" t="s">
        <v>358</v>
      </c>
      <c r="G6" s="709" t="s">
        <v>82</v>
      </c>
      <c r="H6" s="710">
        <v>-70</v>
      </c>
      <c r="I6" s="711"/>
      <c r="J6" s="711">
        <f>+H6</f>
        <v>-70</v>
      </c>
      <c r="K6" s="708" t="s">
        <v>362</v>
      </c>
      <c r="L6" s="708" t="s">
        <v>403</v>
      </c>
      <c r="M6" s="712">
        <v>-70</v>
      </c>
      <c r="N6" s="704" t="s">
        <v>704</v>
      </c>
      <c r="O6" s="713"/>
      <c r="P6" s="713"/>
      <c r="Q6" s="714"/>
    </row>
    <row r="7" spans="1:17" ht="13.5" hidden="1" thickBot="1">
      <c r="A7" s="686">
        <v>4</v>
      </c>
      <c r="B7" s="707">
        <v>2</v>
      </c>
      <c r="C7" s="715"/>
      <c r="D7" s="715"/>
      <c r="E7" s="715"/>
      <c r="F7" s="713"/>
      <c r="G7" s="713"/>
      <c r="H7" s="716"/>
      <c r="I7" s="717"/>
      <c r="J7" s="717"/>
      <c r="K7" s="715" t="s">
        <v>363</v>
      </c>
      <c r="L7" s="715"/>
      <c r="M7" s="718"/>
      <c r="N7" s="704" t="s">
        <v>704</v>
      </c>
      <c r="O7" s="713"/>
      <c r="P7" s="713"/>
      <c r="Q7" s="714"/>
    </row>
    <row r="8" spans="1:17" ht="13.5" hidden="1" thickBot="1">
      <c r="A8" s="686">
        <v>5</v>
      </c>
      <c r="B8" s="707">
        <v>2</v>
      </c>
      <c r="C8" s="715"/>
      <c r="D8" s="715"/>
      <c r="E8" s="715"/>
      <c r="F8" s="713"/>
      <c r="G8" s="713"/>
      <c r="H8" s="716"/>
      <c r="I8" s="717"/>
      <c r="J8" s="717"/>
      <c r="K8" s="715" t="s">
        <v>364</v>
      </c>
      <c r="L8" s="715"/>
      <c r="M8" s="718"/>
      <c r="N8" s="704" t="s">
        <v>704</v>
      </c>
      <c r="O8" s="713"/>
      <c r="P8" s="713"/>
      <c r="Q8" s="714"/>
    </row>
    <row r="9" spans="1:17" ht="13.5" hidden="1" thickBot="1">
      <c r="A9" s="686">
        <v>6</v>
      </c>
      <c r="B9" s="707">
        <v>2</v>
      </c>
      <c r="C9" s="715"/>
      <c r="D9" s="715"/>
      <c r="E9" s="715"/>
      <c r="F9" s="713"/>
      <c r="G9" s="713"/>
      <c r="H9" s="716"/>
      <c r="I9" s="717"/>
      <c r="J9" s="717"/>
      <c r="K9" s="715" t="s">
        <v>365</v>
      </c>
      <c r="L9" s="715"/>
      <c r="M9" s="718"/>
      <c r="N9" s="704" t="s">
        <v>704</v>
      </c>
      <c r="O9" s="713"/>
      <c r="P9" s="713"/>
      <c r="Q9" s="714"/>
    </row>
    <row r="10" spans="1:17" ht="13.5" hidden="1" thickBot="1">
      <c r="A10" s="686">
        <v>7</v>
      </c>
      <c r="B10" s="707">
        <v>2</v>
      </c>
      <c r="C10" s="715"/>
      <c r="D10" s="715"/>
      <c r="E10" s="715"/>
      <c r="F10" s="713"/>
      <c r="G10" s="713"/>
      <c r="H10" s="716"/>
      <c r="I10" s="717"/>
      <c r="J10" s="717"/>
      <c r="K10" s="715" t="s">
        <v>366</v>
      </c>
      <c r="L10" s="715"/>
      <c r="M10" s="718"/>
      <c r="N10" s="704" t="s">
        <v>704</v>
      </c>
      <c r="O10" s="713"/>
      <c r="P10" s="713"/>
      <c r="Q10" s="714"/>
    </row>
    <row r="11" spans="1:17" ht="64.5" hidden="1" thickBot="1">
      <c r="A11" s="686">
        <v>8</v>
      </c>
      <c r="B11" s="719">
        <v>2</v>
      </c>
      <c r="C11" s="720"/>
      <c r="D11" s="720"/>
      <c r="E11" s="720"/>
      <c r="F11" s="721"/>
      <c r="G11" s="721"/>
      <c r="H11" s="722"/>
      <c r="I11" s="723"/>
      <c r="J11" s="723"/>
      <c r="K11" s="720" t="s">
        <v>367</v>
      </c>
      <c r="L11" s="720" t="s">
        <v>207</v>
      </c>
      <c r="M11" s="724"/>
      <c r="N11" s="704" t="s">
        <v>704</v>
      </c>
      <c r="O11" s="721"/>
      <c r="P11" s="721"/>
      <c r="Q11" s="725"/>
    </row>
    <row r="12" spans="1:17" ht="31.5" customHeight="1" thickBot="1">
      <c r="A12" s="713">
        <v>10</v>
      </c>
      <c r="B12" s="698">
        <v>3</v>
      </c>
      <c r="C12" s="699">
        <v>4101</v>
      </c>
      <c r="D12" s="699" t="s">
        <v>368</v>
      </c>
      <c r="E12" s="699" t="s">
        <v>369</v>
      </c>
      <c r="F12" s="700" t="s">
        <v>358</v>
      </c>
      <c r="G12" s="700" t="s">
        <v>82</v>
      </c>
      <c r="H12" s="701">
        <v>-102.338</v>
      </c>
      <c r="I12" s="702"/>
      <c r="J12" s="702">
        <f>+H12</f>
        <v>-102.338</v>
      </c>
      <c r="K12" s="699" t="s">
        <v>370</v>
      </c>
      <c r="L12" s="699" t="s">
        <v>403</v>
      </c>
      <c r="M12" s="703">
        <f>+H12</f>
        <v>-102.338</v>
      </c>
      <c r="N12" s="704" t="s">
        <v>704</v>
      </c>
      <c r="O12" s="726"/>
      <c r="P12" s="726"/>
      <c r="Q12" s="727"/>
    </row>
    <row r="13" spans="1:17" ht="39" thickBot="1">
      <c r="A13" s="713">
        <v>12</v>
      </c>
      <c r="B13" s="719">
        <v>4</v>
      </c>
      <c r="C13" s="728">
        <v>4101</v>
      </c>
      <c r="D13" s="728" t="s">
        <v>368</v>
      </c>
      <c r="E13" s="728" t="s">
        <v>371</v>
      </c>
      <c r="F13" s="729" t="s">
        <v>358</v>
      </c>
      <c r="G13" s="729" t="s">
        <v>82</v>
      </c>
      <c r="H13" s="730">
        <v>0</v>
      </c>
      <c r="I13" s="731"/>
      <c r="J13" s="731">
        <v>0</v>
      </c>
      <c r="K13" s="728" t="s">
        <v>702</v>
      </c>
      <c r="L13" s="728" t="s">
        <v>403</v>
      </c>
      <c r="M13" s="732">
        <v>0</v>
      </c>
      <c r="N13" s="704" t="s">
        <v>704</v>
      </c>
      <c r="O13" s="721"/>
      <c r="P13" s="721"/>
      <c r="Q13" s="725"/>
    </row>
    <row r="14" spans="1:17" ht="38.25" customHeight="1" thickBot="1">
      <c r="A14" s="713">
        <v>11</v>
      </c>
      <c r="B14" s="719">
        <v>5</v>
      </c>
      <c r="C14" s="728" t="s">
        <v>372</v>
      </c>
      <c r="D14" s="728" t="s">
        <v>368</v>
      </c>
      <c r="E14" s="728" t="s">
        <v>373</v>
      </c>
      <c r="F14" s="729" t="s">
        <v>358</v>
      </c>
      <c r="G14" s="728" t="s">
        <v>374</v>
      </c>
      <c r="H14" s="730">
        <v>-412</v>
      </c>
      <c r="I14" s="731">
        <v>-412</v>
      </c>
      <c r="J14" s="731"/>
      <c r="K14" s="728" t="s">
        <v>375</v>
      </c>
      <c r="L14" s="728" t="s">
        <v>403</v>
      </c>
      <c r="M14" s="732">
        <v>-412</v>
      </c>
      <c r="N14" s="704" t="s">
        <v>704</v>
      </c>
      <c r="O14" s="733" t="s">
        <v>405</v>
      </c>
      <c r="P14" s="733"/>
      <c r="Q14" s="725"/>
    </row>
    <row r="15" spans="1:17" ht="39" thickBot="1">
      <c r="A15" s="686">
        <v>18</v>
      </c>
      <c r="B15" s="686">
        <v>7</v>
      </c>
      <c r="C15" s="687">
        <v>1416</v>
      </c>
      <c r="D15" s="687" t="s">
        <v>377</v>
      </c>
      <c r="E15" s="687"/>
      <c r="F15" s="686" t="s">
        <v>378</v>
      </c>
      <c r="G15" s="686" t="s">
        <v>81</v>
      </c>
      <c r="H15" s="734">
        <v>22</v>
      </c>
      <c r="I15" s="735">
        <v>22</v>
      </c>
      <c r="J15" s="735"/>
      <c r="K15" s="687" t="s">
        <v>708</v>
      </c>
      <c r="L15" s="687" t="s">
        <v>403</v>
      </c>
      <c r="M15" s="736">
        <v>22</v>
      </c>
      <c r="N15" s="737" t="s">
        <v>709</v>
      </c>
      <c r="O15" s="713"/>
      <c r="P15" s="713"/>
      <c r="Q15" s="714"/>
    </row>
    <row r="16" spans="1:17" ht="38.25">
      <c r="A16" s="686">
        <v>18</v>
      </c>
      <c r="B16" s="686">
        <v>7</v>
      </c>
      <c r="C16" s="738">
        <v>1408</v>
      </c>
      <c r="D16" s="738" t="s">
        <v>706</v>
      </c>
      <c r="E16" s="738"/>
      <c r="F16" s="739" t="s">
        <v>378</v>
      </c>
      <c r="G16" s="739" t="s">
        <v>81</v>
      </c>
      <c r="H16" s="734">
        <v>104</v>
      </c>
      <c r="I16" s="740">
        <v>104</v>
      </c>
      <c r="J16" s="740"/>
      <c r="K16" s="738" t="s">
        <v>707</v>
      </c>
      <c r="L16" s="738" t="s">
        <v>403</v>
      </c>
      <c r="M16" s="712">
        <v>104</v>
      </c>
      <c r="N16" s="704" t="s">
        <v>704</v>
      </c>
      <c r="O16" s="713"/>
      <c r="P16" s="713"/>
      <c r="Q16" s="714"/>
    </row>
    <row r="17" spans="1:17" ht="25.5">
      <c r="A17" s="713">
        <v>20</v>
      </c>
      <c r="B17" s="713">
        <v>8</v>
      </c>
      <c r="C17" s="715">
        <v>1810</v>
      </c>
      <c r="D17" s="715" t="s">
        <v>379</v>
      </c>
      <c r="E17" s="715"/>
      <c r="F17" s="715" t="s">
        <v>380</v>
      </c>
      <c r="G17" s="713" t="s">
        <v>381</v>
      </c>
      <c r="H17" s="716"/>
      <c r="I17" s="717"/>
      <c r="J17" s="717"/>
      <c r="K17" s="715" t="s">
        <v>705</v>
      </c>
      <c r="L17" s="715" t="s">
        <v>112</v>
      </c>
      <c r="M17" s="718"/>
      <c r="N17" s="737" t="s">
        <v>709</v>
      </c>
      <c r="O17" s="737">
        <f>SUM(H17)</f>
        <v>0</v>
      </c>
      <c r="P17" s="737">
        <v>250</v>
      </c>
      <c r="Q17" s="714"/>
    </row>
    <row r="18" spans="1:17" ht="26.25" thickBot="1">
      <c r="A18" s="713"/>
      <c r="B18" s="713"/>
      <c r="C18" s="715">
        <v>1802</v>
      </c>
      <c r="D18" s="715" t="s">
        <v>712</v>
      </c>
      <c r="E18" s="715"/>
      <c r="F18" s="715"/>
      <c r="G18" s="713"/>
      <c r="H18" s="716"/>
      <c r="I18" s="717"/>
      <c r="J18" s="717"/>
      <c r="K18" s="715"/>
      <c r="L18" s="715"/>
      <c r="M18" s="718"/>
      <c r="N18" s="737"/>
      <c r="O18" s="737"/>
      <c r="P18" s="737"/>
      <c r="Q18" s="714"/>
    </row>
    <row r="19" spans="1:17" ht="26.25" thickBot="1">
      <c r="A19" s="713"/>
      <c r="B19" s="713"/>
      <c r="C19" s="708">
        <v>1805</v>
      </c>
      <c r="D19" s="708" t="s">
        <v>714</v>
      </c>
      <c r="E19" s="708"/>
      <c r="F19" s="708"/>
      <c r="G19" s="709"/>
      <c r="H19" s="716"/>
      <c r="I19" s="711"/>
      <c r="J19" s="711"/>
      <c r="K19" s="708" t="s">
        <v>715</v>
      </c>
      <c r="L19" s="708"/>
      <c r="M19" s="741">
        <v>-66</v>
      </c>
      <c r="N19" s="704" t="s">
        <v>704</v>
      </c>
      <c r="O19" s="737"/>
      <c r="P19" s="737"/>
      <c r="Q19" s="714"/>
    </row>
    <row r="20" spans="1:17" ht="39" thickBot="1">
      <c r="A20" s="713">
        <v>22</v>
      </c>
      <c r="B20" s="713">
        <v>9</v>
      </c>
      <c r="C20" s="742" t="s">
        <v>382</v>
      </c>
      <c r="D20" s="708" t="s">
        <v>383</v>
      </c>
      <c r="E20" s="708"/>
      <c r="F20" s="708" t="s">
        <v>378</v>
      </c>
      <c r="G20" s="709" t="s">
        <v>81</v>
      </c>
      <c r="H20" s="716">
        <f>SUM(I20:J20)</f>
        <v>215</v>
      </c>
      <c r="I20" s="740">
        <v>68</v>
      </c>
      <c r="J20" s="711">
        <v>147</v>
      </c>
      <c r="K20" s="708" t="s">
        <v>713</v>
      </c>
      <c r="L20" s="738" t="s">
        <v>403</v>
      </c>
      <c r="M20" s="712">
        <v>215</v>
      </c>
      <c r="N20" s="704" t="s">
        <v>704</v>
      </c>
      <c r="O20" s="713"/>
      <c r="P20" s="713"/>
      <c r="Q20" s="714"/>
    </row>
    <row r="21" spans="1:17" ht="18" customHeight="1" thickBot="1">
      <c r="A21" s="713">
        <v>27</v>
      </c>
      <c r="B21" s="713">
        <v>10</v>
      </c>
      <c r="C21" s="743">
        <v>1352</v>
      </c>
      <c r="D21" s="744" t="s">
        <v>384</v>
      </c>
      <c r="E21" s="744"/>
      <c r="F21" s="744" t="s">
        <v>385</v>
      </c>
      <c r="G21" s="745" t="s">
        <v>381</v>
      </c>
      <c r="H21" s="746">
        <v>200</v>
      </c>
      <c r="I21" s="747"/>
      <c r="J21" s="747">
        <v>200</v>
      </c>
      <c r="K21" s="744"/>
      <c r="L21" s="744" t="s">
        <v>112</v>
      </c>
      <c r="M21" s="748"/>
      <c r="N21" s="749"/>
      <c r="O21" s="750">
        <v>200</v>
      </c>
      <c r="P21" s="750"/>
      <c r="Q21" s="751"/>
    </row>
    <row r="22" spans="1:17" ht="18" customHeight="1" thickBot="1">
      <c r="A22" s="713"/>
      <c r="B22" s="713">
        <v>11</v>
      </c>
      <c r="C22" s="743">
        <v>1552</v>
      </c>
      <c r="D22" s="744" t="s">
        <v>386</v>
      </c>
      <c r="E22" s="744"/>
      <c r="F22" s="744" t="s">
        <v>387</v>
      </c>
      <c r="G22" s="745" t="s">
        <v>388</v>
      </c>
      <c r="H22" s="746">
        <v>500</v>
      </c>
      <c r="I22" s="747"/>
      <c r="J22" s="747">
        <v>1066</v>
      </c>
      <c r="K22" s="744"/>
      <c r="L22" s="744" t="s">
        <v>112</v>
      </c>
      <c r="M22" s="748"/>
      <c r="N22" s="749"/>
      <c r="O22" s="750">
        <f>SUM(H22)</f>
        <v>500</v>
      </c>
      <c r="P22" s="750"/>
      <c r="Q22" s="751"/>
    </row>
    <row r="23" spans="1:17" ht="13.5" thickBot="1">
      <c r="A23" s="686"/>
      <c r="B23" s="686">
        <v>14</v>
      </c>
      <c r="C23" s="687" t="s">
        <v>389</v>
      </c>
      <c r="D23" s="687" t="s">
        <v>390</v>
      </c>
      <c r="E23" s="687"/>
      <c r="F23" s="687" t="s">
        <v>376</v>
      </c>
      <c r="G23" s="686" t="s">
        <v>81</v>
      </c>
      <c r="H23" s="734">
        <v>-391</v>
      </c>
      <c r="I23" s="735">
        <f>+H23</f>
        <v>-391</v>
      </c>
      <c r="J23" s="735"/>
      <c r="K23" s="687"/>
      <c r="L23" s="687"/>
      <c r="M23" s="718">
        <v>-391</v>
      </c>
      <c r="N23" s="546"/>
      <c r="O23" s="713"/>
      <c r="P23" s="713"/>
      <c r="Q23" s="752"/>
    </row>
    <row r="24" spans="1:17" ht="19.5" customHeight="1">
      <c r="A24" s="686"/>
      <c r="B24" s="686">
        <v>15</v>
      </c>
      <c r="C24" s="738">
        <v>1804</v>
      </c>
      <c r="D24" s="738" t="s">
        <v>391</v>
      </c>
      <c r="E24" s="738" t="s">
        <v>392</v>
      </c>
      <c r="F24" s="738" t="s">
        <v>393</v>
      </c>
      <c r="G24" s="739" t="s">
        <v>81</v>
      </c>
      <c r="H24" s="734">
        <v>-23.4</v>
      </c>
      <c r="I24" s="740">
        <v>-11.5</v>
      </c>
      <c r="J24" s="740">
        <v>-11.5</v>
      </c>
      <c r="K24" s="738"/>
      <c r="L24" s="738" t="s">
        <v>403</v>
      </c>
      <c r="M24" s="712">
        <f>+H24</f>
        <v>-23.4</v>
      </c>
      <c r="N24" s="704" t="s">
        <v>704</v>
      </c>
      <c r="O24" s="713"/>
      <c r="P24" s="713"/>
      <c r="Q24" s="714"/>
    </row>
    <row r="25" spans="1:17" ht="19.5" customHeight="1">
      <c r="A25" s="686"/>
      <c r="B25" s="686"/>
      <c r="C25" s="687"/>
      <c r="D25" s="687"/>
      <c r="E25" s="687"/>
      <c r="F25" s="687"/>
      <c r="G25" s="686"/>
      <c r="H25" s="734"/>
      <c r="I25" s="735"/>
      <c r="J25" s="735"/>
      <c r="K25" s="687"/>
      <c r="L25" s="687"/>
      <c r="M25" s="736"/>
      <c r="N25" s="737"/>
      <c r="O25" s="713"/>
      <c r="P25" s="713"/>
      <c r="Q25" s="714"/>
    </row>
    <row r="26" spans="1:17" ht="19.5" customHeight="1">
      <c r="A26" s="686"/>
      <c r="B26" s="686"/>
      <c r="C26" s="687"/>
      <c r="D26" s="687"/>
      <c r="E26" s="687"/>
      <c r="F26" s="687"/>
      <c r="G26" s="686"/>
      <c r="H26" s="734"/>
      <c r="I26" s="735"/>
      <c r="J26" s="735"/>
      <c r="K26" s="687"/>
      <c r="L26" s="687"/>
      <c r="M26" s="736"/>
      <c r="N26" s="737"/>
      <c r="O26" s="713"/>
      <c r="P26" s="713"/>
      <c r="Q26" s="714"/>
    </row>
    <row r="27" spans="1:17" ht="19.5" customHeight="1" thickBot="1">
      <c r="A27" s="686"/>
      <c r="B27" s="686"/>
      <c r="C27" s="687"/>
      <c r="D27" s="687"/>
      <c r="E27" s="687"/>
      <c r="F27" s="687"/>
      <c r="G27" s="686"/>
      <c r="H27" s="734"/>
      <c r="I27" s="735"/>
      <c r="J27" s="735"/>
      <c r="K27" s="687"/>
      <c r="L27" s="687"/>
      <c r="M27" s="736"/>
      <c r="N27" s="737"/>
      <c r="O27" s="713"/>
      <c r="P27" s="713"/>
      <c r="Q27" s="714"/>
    </row>
    <row r="28" spans="1:17" ht="26.25" thickBot="1">
      <c r="A28" s="686"/>
      <c r="B28" s="698">
        <v>16</v>
      </c>
      <c r="C28" s="753" t="s">
        <v>711</v>
      </c>
      <c r="D28" s="754" t="s">
        <v>394</v>
      </c>
      <c r="E28" s="754" t="s">
        <v>710</v>
      </c>
      <c r="F28" s="754" t="s">
        <v>395</v>
      </c>
      <c r="G28" s="755" t="s">
        <v>381</v>
      </c>
      <c r="H28" s="756">
        <v>716</v>
      </c>
      <c r="I28" s="757">
        <v>537</v>
      </c>
      <c r="J28" s="757">
        <v>179</v>
      </c>
      <c r="K28" s="754"/>
      <c r="L28" s="754" t="s">
        <v>112</v>
      </c>
      <c r="M28" s="758">
        <v>716</v>
      </c>
      <c r="N28" s="704" t="s">
        <v>704</v>
      </c>
      <c r="O28" s="759"/>
      <c r="P28" s="759"/>
      <c r="Q28" s="760"/>
    </row>
    <row r="29" spans="1:17" ht="18" customHeight="1" thickBot="1">
      <c r="A29" s="686"/>
      <c r="B29" s="713"/>
      <c r="C29" s="708" t="s">
        <v>225</v>
      </c>
      <c r="D29" s="708" t="s">
        <v>400</v>
      </c>
      <c r="E29" s="708" t="s">
        <v>401</v>
      </c>
      <c r="F29" s="708"/>
      <c r="G29" s="709"/>
      <c r="H29" s="710">
        <v>-205</v>
      </c>
      <c r="I29" s="711">
        <v>-98</v>
      </c>
      <c r="J29" s="711">
        <v>-107</v>
      </c>
      <c r="K29" s="761"/>
      <c r="L29" s="738" t="s">
        <v>404</v>
      </c>
      <c r="M29" s="762">
        <v>-205</v>
      </c>
      <c r="N29" s="704" t="s">
        <v>704</v>
      </c>
      <c r="O29" s="713"/>
      <c r="P29" s="713"/>
      <c r="Q29" s="752"/>
    </row>
    <row r="30" spans="1:17" ht="16.5" customHeight="1" thickBot="1">
      <c r="A30" s="713"/>
      <c r="B30" s="713">
        <v>17</v>
      </c>
      <c r="C30" s="708" t="s">
        <v>226</v>
      </c>
      <c r="D30" s="708" t="s">
        <v>396</v>
      </c>
      <c r="E30" s="708" t="s">
        <v>402</v>
      </c>
      <c r="F30" s="708" t="s">
        <v>397</v>
      </c>
      <c r="G30" s="709" t="s">
        <v>381</v>
      </c>
      <c r="H30" s="710">
        <v>636</v>
      </c>
      <c r="I30" s="711">
        <v>73</v>
      </c>
      <c r="J30" s="711">
        <v>563</v>
      </c>
      <c r="K30" s="708" t="s">
        <v>718</v>
      </c>
      <c r="L30" s="738" t="s">
        <v>404</v>
      </c>
      <c r="M30" s="762">
        <v>636</v>
      </c>
      <c r="N30" s="704" t="s">
        <v>704</v>
      </c>
      <c r="O30" s="737">
        <f>SUM(J30)</f>
        <v>563</v>
      </c>
      <c r="P30" s="737">
        <v>690</v>
      </c>
      <c r="Q30" s="714"/>
    </row>
    <row r="31" spans="1:17" ht="25.5">
      <c r="A31" s="713"/>
      <c r="B31" s="713"/>
      <c r="C31" s="708">
        <v>8206</v>
      </c>
      <c r="D31" s="708" t="s">
        <v>716</v>
      </c>
      <c r="E31" s="708" t="s">
        <v>717</v>
      </c>
      <c r="F31" s="708"/>
      <c r="G31" s="709"/>
      <c r="H31" s="710">
        <v>87</v>
      </c>
      <c r="I31" s="711"/>
      <c r="J31" s="711"/>
      <c r="K31" s="708"/>
      <c r="L31" s="738"/>
      <c r="M31" s="762">
        <v>87</v>
      </c>
      <c r="N31" s="704" t="s">
        <v>704</v>
      </c>
      <c r="O31" s="737"/>
      <c r="P31" s="737"/>
      <c r="Q31" s="714"/>
    </row>
    <row r="32" spans="1:17" ht="18" customHeight="1" thickBot="1">
      <c r="A32" s="713"/>
      <c r="B32" s="713">
        <v>19</v>
      </c>
      <c r="C32" s="715" t="s">
        <v>398</v>
      </c>
      <c r="D32" s="715" t="s">
        <v>399</v>
      </c>
      <c r="E32" s="715"/>
      <c r="F32" s="715" t="s">
        <v>393</v>
      </c>
      <c r="G32" s="713" t="s">
        <v>82</v>
      </c>
      <c r="H32" s="730"/>
      <c r="I32" s="723"/>
      <c r="J32" s="723"/>
      <c r="K32" s="715"/>
      <c r="L32" s="715" t="s">
        <v>112</v>
      </c>
      <c r="M32" s="718"/>
      <c r="N32" s="546"/>
      <c r="O32" s="737">
        <f>SUM(J32)</f>
        <v>0</v>
      </c>
      <c r="P32" s="737">
        <v>50</v>
      </c>
      <c r="Q32" s="714"/>
    </row>
    <row r="33" spans="1:17" ht="18.75" thickBot="1">
      <c r="A33" s="686">
        <v>30</v>
      </c>
      <c r="B33" s="686"/>
      <c r="C33" s="687"/>
      <c r="D33" s="687"/>
      <c r="E33" s="687"/>
      <c r="F33" s="686"/>
      <c r="G33" s="686"/>
      <c r="H33" s="763">
        <f>SUM(H5:H32)</f>
        <v>1097.2620000000002</v>
      </c>
      <c r="I33" s="764">
        <f>SUM(I5:I32)</f>
        <v>-108.5</v>
      </c>
      <c r="J33" s="764">
        <f>SUM(J5:J32)</f>
        <v>1685.162</v>
      </c>
      <c r="K33" s="765">
        <f>SUM(M33:Q33)</f>
        <v>2584.262</v>
      </c>
      <c r="M33" s="766">
        <f>SUM(M5:M32)</f>
        <v>331.26200000000006</v>
      </c>
      <c r="N33" s="767"/>
      <c r="O33" s="767">
        <f>SUM(O5:O32)</f>
        <v>1263</v>
      </c>
      <c r="P33" s="767">
        <f>SUM(P5:P32)</f>
        <v>990</v>
      </c>
      <c r="Q33" s="768">
        <f>SUM(Q5:Q32)</f>
        <v>0</v>
      </c>
    </row>
    <row r="34" spans="1:17" ht="12.75">
      <c r="A34" s="686">
        <v>31</v>
      </c>
      <c r="B34" s="686"/>
      <c r="C34" s="687"/>
      <c r="D34" s="687"/>
      <c r="E34" s="687"/>
      <c r="F34" s="686"/>
      <c r="G34" s="769"/>
      <c r="H34" s="770"/>
      <c r="I34" s="771"/>
      <c r="J34" s="771"/>
      <c r="K34" s="772"/>
      <c r="L34" s="765"/>
      <c r="O34" s="686"/>
      <c r="P34" s="686"/>
      <c r="Q34" s="686"/>
    </row>
    <row r="35" spans="1:12" ht="12.75">
      <c r="A35" s="686">
        <v>32</v>
      </c>
      <c r="B35" s="686"/>
      <c r="C35" s="687"/>
      <c r="D35" s="687"/>
      <c r="E35" s="687"/>
      <c r="F35" s="686"/>
      <c r="G35" s="769"/>
      <c r="H35" s="770"/>
      <c r="I35" s="771"/>
      <c r="J35" s="771"/>
      <c r="K35" s="772"/>
      <c r="L35" s="765"/>
    </row>
    <row r="36" spans="1:12" ht="12.75">
      <c r="A36" s="686">
        <v>33</v>
      </c>
      <c r="B36" s="686"/>
      <c r="C36" s="687"/>
      <c r="D36" s="687"/>
      <c r="E36" s="687"/>
      <c r="F36" s="686"/>
      <c r="G36" s="686"/>
      <c r="H36" s="686"/>
      <c r="I36" s="773"/>
      <c r="J36" s="773"/>
      <c r="K36" s="772"/>
      <c r="L36" s="765"/>
    </row>
    <row r="37" spans="1:12" ht="12.75">
      <c r="A37" s="686">
        <v>34</v>
      </c>
      <c r="B37" s="686"/>
      <c r="C37" s="687"/>
      <c r="D37" s="687"/>
      <c r="E37" s="687"/>
      <c r="F37" s="686"/>
      <c r="G37" s="686"/>
      <c r="H37" s="774"/>
      <c r="I37" s="735"/>
      <c r="J37" s="735"/>
      <c r="L37" s="687"/>
    </row>
    <row r="38" spans="1:12" ht="12.75">
      <c r="A38" s="686">
        <v>35</v>
      </c>
      <c r="B38" s="686"/>
      <c r="C38" s="687"/>
      <c r="D38" s="687"/>
      <c r="E38" s="687"/>
      <c r="F38" s="686"/>
      <c r="G38" s="686"/>
      <c r="H38" s="774"/>
      <c r="I38" s="735"/>
      <c r="J38" s="735"/>
      <c r="K38" s="687"/>
      <c r="L38" s="765"/>
    </row>
    <row r="40" ht="12.75">
      <c r="I40" s="765"/>
    </row>
  </sheetData>
  <printOptions gridLines="1" headings="1"/>
  <pageMargins left="0.17" right="0.21" top="0.81" bottom="0.3" header="0.21" footer="0.17"/>
  <pageSetup fitToHeight="1" fitToWidth="1" horizontalDpi="1200" verticalDpi="1200" orientation="landscape" scale="62" r:id="rId1"/>
  <headerFooter alignWithMargins="0">
    <oddFooter>&amp;R&amp;F          &amp;A        &amp;D   &amp;T</oddFooter>
  </headerFooter>
</worksheet>
</file>

<file path=xl/worksheets/sheet6.xml><?xml version="1.0" encoding="utf-8"?>
<worksheet xmlns="http://schemas.openxmlformats.org/spreadsheetml/2006/main" xmlns:r="http://schemas.openxmlformats.org/officeDocument/2006/relationships">
  <dimension ref="G15:J29"/>
  <sheetViews>
    <sheetView workbookViewId="0" topLeftCell="D7">
      <selection activeCell="D7" sqref="A1:IV16384"/>
    </sheetView>
  </sheetViews>
  <sheetFormatPr defaultColWidth="9.140625" defaultRowHeight="12.75"/>
  <cols>
    <col min="1" max="6" width="9.140625" style="416" customWidth="1"/>
    <col min="7" max="7" width="41.28125" style="416" customWidth="1"/>
    <col min="8" max="10" width="12.421875" style="654" customWidth="1"/>
    <col min="11" max="11" width="13.8515625" style="654" customWidth="1"/>
    <col min="12" max="16384" width="9.140625" style="416" customWidth="1"/>
  </cols>
  <sheetData>
    <row r="15" spans="8:10" ht="54.75" thickBot="1">
      <c r="H15" s="776" t="s">
        <v>632</v>
      </c>
      <c r="I15" s="776" t="s">
        <v>631</v>
      </c>
      <c r="J15" s="776" t="s">
        <v>633</v>
      </c>
    </row>
    <row r="16" ht="27.75" customHeight="1">
      <c r="G16" s="777" t="s">
        <v>640</v>
      </c>
    </row>
    <row r="17" ht="27.75" customHeight="1">
      <c r="G17" s="777" t="s">
        <v>646</v>
      </c>
    </row>
    <row r="18" ht="27.75" customHeight="1">
      <c r="G18" s="777" t="s">
        <v>641</v>
      </c>
    </row>
    <row r="19" ht="27.75" customHeight="1">
      <c r="G19" s="777" t="s">
        <v>645</v>
      </c>
    </row>
    <row r="20" ht="27.75" customHeight="1">
      <c r="G20" s="777" t="s">
        <v>642</v>
      </c>
    </row>
    <row r="21" ht="27.75" customHeight="1">
      <c r="G21" s="777" t="s">
        <v>644</v>
      </c>
    </row>
    <row r="22" ht="27.75" customHeight="1" hidden="1">
      <c r="G22" s="777" t="s">
        <v>379</v>
      </c>
    </row>
    <row r="23" ht="27.75" customHeight="1" hidden="1">
      <c r="G23" s="777" t="s">
        <v>634</v>
      </c>
    </row>
    <row r="24" ht="27.75" customHeight="1" hidden="1">
      <c r="G24" s="777" t="s">
        <v>635</v>
      </c>
    </row>
    <row r="25" ht="27.75" customHeight="1" hidden="1">
      <c r="G25" s="777" t="s">
        <v>636</v>
      </c>
    </row>
    <row r="26" ht="27.75" customHeight="1">
      <c r="G26" s="777" t="s">
        <v>643</v>
      </c>
    </row>
    <row r="27" ht="27.75" customHeight="1">
      <c r="G27" s="777" t="s">
        <v>637</v>
      </c>
    </row>
    <row r="28" ht="27.75" customHeight="1">
      <c r="G28" s="777" t="s">
        <v>638</v>
      </c>
    </row>
    <row r="29" ht="27.75" customHeight="1">
      <c r="G29" s="777" t="s">
        <v>639</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BL213"/>
  <sheetViews>
    <sheetView zoomScale="65" zoomScaleNormal="65" workbookViewId="0" topLeftCell="A1">
      <selection activeCell="A1" sqref="A1:IV16384"/>
    </sheetView>
  </sheetViews>
  <sheetFormatPr defaultColWidth="9.140625" defaultRowHeight="12.75"/>
  <cols>
    <col min="1" max="1" width="5.57421875" style="546" customWidth="1"/>
    <col min="2" max="2" width="42.28125" style="546" customWidth="1"/>
    <col min="3" max="3" width="5.7109375" style="546" hidden="1" customWidth="1"/>
    <col min="4" max="5" width="11.57421875" style="546" hidden="1" customWidth="1"/>
    <col min="6" max="7" width="11.57421875" style="546" customWidth="1"/>
    <col min="8" max="8" width="14.7109375" style="546" hidden="1" customWidth="1"/>
    <col min="9" max="9" width="10.421875" style="546" hidden="1" customWidth="1"/>
    <col min="10" max="10" width="17.421875" style="546" hidden="1" customWidth="1"/>
    <col min="11" max="11" width="8.421875" style="546" hidden="1" customWidth="1"/>
    <col min="12" max="12" width="12.00390625" style="546" hidden="1" customWidth="1"/>
    <col min="13" max="13" width="8.421875" style="546" hidden="1" customWidth="1"/>
    <col min="14" max="14" width="11.00390625" style="546" hidden="1" customWidth="1"/>
    <col min="15" max="15" width="10.28125" style="546" hidden="1" customWidth="1"/>
    <col min="16" max="16" width="12.421875" style="546" hidden="1" customWidth="1"/>
    <col min="17" max="17" width="11.421875" style="546" hidden="1" customWidth="1"/>
    <col min="18" max="18" width="8.421875" style="546" hidden="1" customWidth="1"/>
    <col min="19" max="19" width="11.140625" style="546" hidden="1" customWidth="1"/>
    <col min="20" max="24" width="8.421875" style="546" hidden="1" customWidth="1"/>
    <col min="25" max="25" width="10.7109375" style="546" hidden="1" customWidth="1"/>
    <col min="26" max="26" width="8.421875" style="546" hidden="1" customWidth="1"/>
    <col min="27" max="27" width="14.421875" style="920" hidden="1" customWidth="1"/>
    <col min="28" max="29" width="11.8515625" style="920" hidden="1" customWidth="1"/>
    <col min="30" max="30" width="19.28125" style="565" customWidth="1"/>
    <col min="31" max="31" width="22.140625" style="605" customWidth="1"/>
    <col min="32" max="33" width="20.28125" style="565" hidden="1" customWidth="1"/>
    <col min="34" max="34" width="20.28125" style="565" customWidth="1"/>
    <col min="35" max="35" width="22.140625" style="565" customWidth="1"/>
    <col min="36" max="37" width="22.140625" style="565" hidden="1" customWidth="1"/>
    <col min="38" max="38" width="15.8515625" style="565" hidden="1" customWidth="1"/>
    <col min="39" max="39" width="14.28125" style="565" hidden="1" customWidth="1"/>
    <col min="40" max="40" width="12.00390625" style="958" hidden="1" customWidth="1"/>
    <col min="41" max="41" width="13.57421875" style="546" hidden="1" customWidth="1"/>
    <col min="42" max="42" width="16.140625" style="546" hidden="1" customWidth="1"/>
    <col min="43" max="43" width="9.28125" style="546" customWidth="1"/>
    <col min="44" max="44" width="36.57421875" style="546" customWidth="1"/>
    <col min="45" max="45" width="15.57421875" style="546" customWidth="1"/>
    <col min="46" max="46" width="16.28125" style="546" customWidth="1"/>
    <col min="47" max="47" width="21.57421875" style="546" customWidth="1"/>
    <col min="48" max="48" width="10.8515625" style="546" bestFit="1" customWidth="1"/>
    <col min="49" max="49" width="17.28125" style="546" bestFit="1" customWidth="1"/>
    <col min="50" max="50" width="10.8515625" style="546" bestFit="1" customWidth="1"/>
    <col min="51" max="51" width="16.28125" style="546" bestFit="1" customWidth="1"/>
    <col min="52" max="52" width="11.8515625" style="546" customWidth="1"/>
    <col min="53" max="54" width="9.28125" style="546" customWidth="1"/>
    <col min="55" max="55" width="5.28125" style="546" bestFit="1" customWidth="1"/>
    <col min="56" max="56" width="59.57421875" style="546" bestFit="1" customWidth="1"/>
    <col min="57" max="57" width="13.00390625" style="546" bestFit="1" customWidth="1"/>
    <col min="58" max="62" width="17.28125" style="546" customWidth="1"/>
    <col min="63" max="16384" width="9.28125" style="546" customWidth="1"/>
  </cols>
  <sheetData>
    <row r="1" spans="1:44" s="565" customFormat="1" ht="21" thickBot="1">
      <c r="A1" s="778" t="s">
        <v>211</v>
      </c>
      <c r="B1" s="778" t="s">
        <v>327</v>
      </c>
      <c r="C1" s="778"/>
      <c r="D1" s="778"/>
      <c r="E1" s="778"/>
      <c r="F1" s="778"/>
      <c r="G1" s="778"/>
      <c r="H1" s="778"/>
      <c r="I1" s="778" t="s">
        <v>252</v>
      </c>
      <c r="J1" s="779" t="s">
        <v>92</v>
      </c>
      <c r="K1" s="560"/>
      <c r="L1" s="560"/>
      <c r="M1" s="780"/>
      <c r="N1" s="780"/>
      <c r="O1" s="779" t="s">
        <v>93</v>
      </c>
      <c r="P1" s="560"/>
      <c r="Q1" s="560"/>
      <c r="R1" s="781"/>
      <c r="S1" s="782"/>
      <c r="T1" s="783"/>
      <c r="U1" s="784" t="s">
        <v>94</v>
      </c>
      <c r="V1" s="784"/>
      <c r="W1" s="784"/>
      <c r="X1" s="785"/>
      <c r="Y1" s="786"/>
      <c r="Z1" s="787"/>
      <c r="AA1" s="788" t="s">
        <v>16</v>
      </c>
      <c r="AB1" s="789" t="s">
        <v>650</v>
      </c>
      <c r="AC1" s="789" t="s">
        <v>651</v>
      </c>
      <c r="AD1" s="789" t="s">
        <v>20</v>
      </c>
      <c r="AE1" s="790" t="s">
        <v>653</v>
      </c>
      <c r="AF1" s="789" t="s">
        <v>21</v>
      </c>
      <c r="AG1" s="789" t="s">
        <v>654</v>
      </c>
      <c r="AH1" s="791" t="s">
        <v>655</v>
      </c>
      <c r="AI1" s="548" t="s">
        <v>656</v>
      </c>
      <c r="AJ1" s="548" t="s">
        <v>15</v>
      </c>
      <c r="AK1" s="560" t="s">
        <v>207</v>
      </c>
      <c r="AL1" s="560"/>
      <c r="AM1" s="792"/>
      <c r="AN1" s="793"/>
      <c r="AO1" s="778"/>
      <c r="AP1" s="778"/>
      <c r="AQ1" s="597"/>
      <c r="AR1" s="597"/>
    </row>
    <row r="2" spans="1:51" s="565" customFormat="1" ht="20.25">
      <c r="A2" s="778"/>
      <c r="B2" s="778"/>
      <c r="C2" s="778"/>
      <c r="D2" s="778"/>
      <c r="E2" s="778"/>
      <c r="F2" s="778"/>
      <c r="G2" s="778"/>
      <c r="H2" s="778"/>
      <c r="I2" s="778"/>
      <c r="J2" s="794"/>
      <c r="K2" s="795"/>
      <c r="L2" s="795"/>
      <c r="M2" s="787"/>
      <c r="N2" s="787"/>
      <c r="O2" s="794"/>
      <c r="P2" s="795"/>
      <c r="Q2" s="795"/>
      <c r="R2" s="785"/>
      <c r="S2" s="786"/>
      <c r="T2" s="796"/>
      <c r="U2" s="784"/>
      <c r="V2" s="784"/>
      <c r="W2" s="784"/>
      <c r="X2" s="785"/>
      <c r="Y2" s="786"/>
      <c r="Z2" s="787"/>
      <c r="AA2" s="788" t="s">
        <v>660</v>
      </c>
      <c r="AB2" s="791"/>
      <c r="AC2" s="797"/>
      <c r="AD2" s="798" t="s">
        <v>652</v>
      </c>
      <c r="AE2" s="797"/>
      <c r="AF2" s="797" t="s">
        <v>657</v>
      </c>
      <c r="AG2" s="797" t="s">
        <v>668</v>
      </c>
      <c r="AH2" s="799" t="s">
        <v>670</v>
      </c>
      <c r="AI2" s="550"/>
      <c r="AJ2" s="550"/>
      <c r="AK2" s="800"/>
      <c r="AL2" s="800"/>
      <c r="AM2" s="801"/>
      <c r="AN2" s="793"/>
      <c r="AO2" s="778"/>
      <c r="AP2" s="778"/>
      <c r="AQ2" s="597"/>
      <c r="AR2" s="597"/>
      <c r="AS2" s="802" t="s">
        <v>662</v>
      </c>
      <c r="AT2" s="802" t="s">
        <v>651</v>
      </c>
      <c r="AU2" s="802" t="s">
        <v>652</v>
      </c>
      <c r="AV2" s="802" t="s">
        <v>654</v>
      </c>
      <c r="AW2" s="803" t="s">
        <v>664</v>
      </c>
      <c r="AX2" s="802" t="s">
        <v>21</v>
      </c>
      <c r="AY2" s="802" t="s">
        <v>665</v>
      </c>
    </row>
    <row r="3" spans="1:51" s="597" customFormat="1" ht="93" thickBot="1">
      <c r="A3" s="804"/>
      <c r="B3" s="594" t="s">
        <v>669</v>
      </c>
      <c r="C3" s="805"/>
      <c r="D3" s="805"/>
      <c r="E3" s="805"/>
      <c r="F3" s="805" t="s">
        <v>690</v>
      </c>
      <c r="G3" s="806" t="s">
        <v>599</v>
      </c>
      <c r="H3" s="805"/>
      <c r="I3" s="804"/>
      <c r="J3" s="807" t="s">
        <v>597</v>
      </c>
      <c r="K3" s="808" t="s">
        <v>250</v>
      </c>
      <c r="L3" s="808" t="s">
        <v>251</v>
      </c>
      <c r="M3" s="809" t="s">
        <v>328</v>
      </c>
      <c r="N3" s="810" t="s">
        <v>344</v>
      </c>
      <c r="O3" s="811" t="s">
        <v>461</v>
      </c>
      <c r="P3" s="808" t="s">
        <v>250</v>
      </c>
      <c r="Q3" s="808" t="s">
        <v>251</v>
      </c>
      <c r="R3" s="809" t="s">
        <v>328</v>
      </c>
      <c r="S3" s="810" t="s">
        <v>344</v>
      </c>
      <c r="T3" s="812" t="s">
        <v>330</v>
      </c>
      <c r="U3" s="811" t="s">
        <v>461</v>
      </c>
      <c r="V3" s="808" t="s">
        <v>250</v>
      </c>
      <c r="W3" s="808" t="s">
        <v>251</v>
      </c>
      <c r="X3" s="809" t="s">
        <v>328</v>
      </c>
      <c r="Y3" s="810" t="s">
        <v>344</v>
      </c>
      <c r="Z3" s="813" t="s">
        <v>330</v>
      </c>
      <c r="AA3" s="814" t="s">
        <v>597</v>
      </c>
      <c r="AB3" s="815" t="s">
        <v>683</v>
      </c>
      <c r="AC3" s="816" t="s">
        <v>684</v>
      </c>
      <c r="AD3" s="817" t="s">
        <v>251</v>
      </c>
      <c r="AE3" s="818" t="s">
        <v>648</v>
      </c>
      <c r="AF3" s="552" t="s">
        <v>649</v>
      </c>
      <c r="AG3" s="552" t="s">
        <v>663</v>
      </c>
      <c r="AH3" s="553" t="s">
        <v>667</v>
      </c>
      <c r="AI3" s="552"/>
      <c r="AJ3" s="552"/>
      <c r="AK3" s="552"/>
      <c r="AL3" s="813" t="s">
        <v>329</v>
      </c>
      <c r="AM3" s="812" t="s">
        <v>330</v>
      </c>
      <c r="AN3" s="819" t="s">
        <v>601</v>
      </c>
      <c r="AO3" s="804"/>
      <c r="AP3" s="804"/>
      <c r="AQ3" s="546"/>
      <c r="AR3" s="594" t="s">
        <v>669</v>
      </c>
      <c r="AS3" s="595"/>
      <c r="AT3" s="595"/>
      <c r="AU3" s="595"/>
      <c r="AV3" s="595"/>
      <c r="AW3" s="820"/>
      <c r="AX3" s="595"/>
      <c r="AY3" s="595"/>
    </row>
    <row r="4" spans="1:51" s="597" customFormat="1" ht="40.5">
      <c r="A4" s="821"/>
      <c r="C4" s="821"/>
      <c r="D4" s="822" t="s">
        <v>589</v>
      </c>
      <c r="E4" s="822"/>
      <c r="F4" s="822" t="s">
        <v>591</v>
      </c>
      <c r="H4" s="821" t="s">
        <v>590</v>
      </c>
      <c r="I4" s="821" t="s">
        <v>213</v>
      </c>
      <c r="J4" s="823">
        <f aca="true" t="shared" si="0" ref="J4:Y4">J101</f>
        <v>11920.815095217418</v>
      </c>
      <c r="K4" s="821"/>
      <c r="L4" s="821"/>
      <c r="M4" s="824">
        <f t="shared" si="0"/>
        <v>0.11271005512221592</v>
      </c>
      <c r="N4" s="825">
        <f t="shared" si="0"/>
        <v>1391.722920020885</v>
      </c>
      <c r="O4" s="821">
        <f t="shared" si="0"/>
        <v>12856.600000000002</v>
      </c>
      <c r="P4" s="821"/>
      <c r="Q4" s="821"/>
      <c r="R4" s="824">
        <f t="shared" si="0"/>
        <v>0.3532004784493334</v>
      </c>
      <c r="S4" s="826">
        <f>S101</f>
        <v>3454.8658</v>
      </c>
      <c r="T4" s="825">
        <f>T101</f>
        <v>2705</v>
      </c>
      <c r="U4" s="821">
        <f t="shared" si="0"/>
        <v>2291.1</v>
      </c>
      <c r="V4" s="821"/>
      <c r="W4" s="821"/>
      <c r="X4" s="824">
        <f t="shared" si="0"/>
        <v>0.06613682398051517</v>
      </c>
      <c r="Y4" s="826">
        <f t="shared" si="0"/>
        <v>142.7960166563303</v>
      </c>
      <c r="Z4" s="825">
        <f>Z101</f>
        <v>3900.0225</v>
      </c>
      <c r="AA4" s="827"/>
      <c r="AB4" s="827"/>
      <c r="AC4" s="827"/>
      <c r="AD4" s="554"/>
      <c r="AE4" s="828"/>
      <c r="AF4" s="554"/>
      <c r="AG4" s="554"/>
      <c r="AH4" s="554" t="s">
        <v>691</v>
      </c>
      <c r="AI4" s="554" t="s">
        <v>114</v>
      </c>
      <c r="AJ4" s="554"/>
      <c r="AK4" s="554"/>
      <c r="AL4" s="554"/>
      <c r="AM4" s="829"/>
      <c r="AN4" s="830"/>
      <c r="AO4" s="831"/>
      <c r="AP4" s="831"/>
      <c r="AQ4" s="599"/>
      <c r="AR4" s="599"/>
      <c r="AS4" s="600" t="s">
        <v>661</v>
      </c>
      <c r="AT4" s="832" t="s">
        <v>684</v>
      </c>
      <c r="AU4" s="832" t="s">
        <v>680</v>
      </c>
      <c r="AV4" s="833" t="s">
        <v>663</v>
      </c>
      <c r="AW4" s="834"/>
      <c r="AX4" s="833" t="s">
        <v>666</v>
      </c>
      <c r="AY4" s="835"/>
    </row>
    <row r="5" spans="1:51" ht="20.25">
      <c r="A5" s="822" t="s">
        <v>111</v>
      </c>
      <c r="B5" s="822" t="s">
        <v>111</v>
      </c>
      <c r="C5" s="822"/>
      <c r="F5" s="546">
        <v>75</v>
      </c>
      <c r="G5" s="546">
        <v>75</v>
      </c>
      <c r="H5" s="822"/>
      <c r="I5" s="822">
        <v>75</v>
      </c>
      <c r="J5" s="836"/>
      <c r="L5" s="546">
        <f>SUM(J5:K5)</f>
        <v>0</v>
      </c>
      <c r="N5" s="837"/>
      <c r="O5" s="416"/>
      <c r="P5" s="416"/>
      <c r="Q5" s="546">
        <f>SUM(O5:P5)</f>
        <v>0</v>
      </c>
      <c r="T5" s="837"/>
      <c r="U5" s="416"/>
      <c r="V5" s="416"/>
      <c r="W5" s="546">
        <f>SUM(U5:V5)</f>
        <v>0</v>
      </c>
      <c r="Z5" s="837"/>
      <c r="AA5" s="838"/>
      <c r="AB5" s="838"/>
      <c r="AC5" s="838"/>
      <c r="AD5" s="555"/>
      <c r="AE5" s="839"/>
      <c r="AF5" s="556">
        <f aca="true" t="shared" si="1" ref="AF5:AF68">+AE5*AD5</f>
        <v>0</v>
      </c>
      <c r="AG5" s="555">
        <f aca="true" t="shared" si="2" ref="AG5:AG36">+AF5*(AG$102/AF$101)</f>
        <v>0</v>
      </c>
      <c r="AH5" s="556">
        <f>+AG5+AC5</f>
        <v>0</v>
      </c>
      <c r="AI5" s="561"/>
      <c r="AJ5" s="556"/>
      <c r="AK5" s="556"/>
      <c r="AL5" s="556">
        <f>SUM(N5:N5,S5,Y5)</f>
        <v>0</v>
      </c>
      <c r="AM5" s="840">
        <f aca="true" t="shared" si="3" ref="AM5:AM68">SUM(Z5,T5)</f>
        <v>0</v>
      </c>
      <c r="AN5" s="830"/>
      <c r="AO5" s="416"/>
      <c r="AP5" s="841"/>
      <c r="AR5" s="604" t="s">
        <v>211</v>
      </c>
      <c r="AS5" s="605"/>
      <c r="AT5" s="842"/>
      <c r="AU5" s="842"/>
      <c r="AV5" s="605" t="s">
        <v>214</v>
      </c>
      <c r="AW5" s="608" t="s">
        <v>114</v>
      </c>
      <c r="AX5" s="605" t="s">
        <v>214</v>
      </c>
      <c r="AY5" s="608" t="s">
        <v>114</v>
      </c>
    </row>
    <row r="6" spans="1:51" ht="20.25">
      <c r="A6" s="822">
        <v>12</v>
      </c>
      <c r="B6" s="822" t="s">
        <v>230</v>
      </c>
      <c r="C6" s="843" t="s">
        <v>496</v>
      </c>
      <c r="D6" s="844">
        <v>424.42</v>
      </c>
      <c r="E6" s="841">
        <v>1201</v>
      </c>
      <c r="F6" s="844">
        <v>424.42</v>
      </c>
      <c r="G6" s="844">
        <v>424</v>
      </c>
      <c r="H6" s="844">
        <f>+F6-D6-O6-U6</f>
        <v>0</v>
      </c>
      <c r="I6" s="822" t="s">
        <v>207</v>
      </c>
      <c r="J6" s="836">
        <v>0</v>
      </c>
      <c r="L6" s="845">
        <f aca="true" t="shared" si="4" ref="L6:L69">SUM(J6:K6)</f>
        <v>0</v>
      </c>
      <c r="N6" s="837"/>
      <c r="O6" s="416"/>
      <c r="P6" s="416"/>
      <c r="Q6" s="546">
        <f aca="true" t="shared" si="5" ref="Q6:Q69">SUM(O6:P6)</f>
        <v>0</v>
      </c>
      <c r="S6" s="546">
        <f aca="true" t="shared" si="6" ref="S6:S69">Q6*R6</f>
        <v>0</v>
      </c>
      <c r="T6" s="837"/>
      <c r="U6" s="416"/>
      <c r="V6" s="416"/>
      <c r="W6" s="546">
        <f aca="true" t="shared" si="7" ref="W6:W69">SUM(U6:V6)</f>
        <v>0</v>
      </c>
      <c r="Y6" s="546">
        <f aca="true" t="shared" si="8" ref="Y6:Y69">W6*X6</f>
        <v>0</v>
      </c>
      <c r="Z6" s="837"/>
      <c r="AA6" s="838"/>
      <c r="AB6" s="838"/>
      <c r="AC6" s="838"/>
      <c r="AD6" s="555"/>
      <c r="AE6" s="839"/>
      <c r="AF6" s="556">
        <f t="shared" si="1"/>
        <v>0</v>
      </c>
      <c r="AG6" s="555">
        <f t="shared" si="2"/>
        <v>0</v>
      </c>
      <c r="AH6" s="556">
        <f aca="true" t="shared" si="9" ref="AH6:AH69">+AG6+AC6</f>
        <v>0</v>
      </c>
      <c r="AI6" s="561"/>
      <c r="AJ6" s="556"/>
      <c r="AK6" s="556"/>
      <c r="AL6" s="556">
        <f aca="true" t="shared" si="10" ref="AL6:AL69">SUM(N6:N6,S6,Y6)</f>
        <v>0</v>
      </c>
      <c r="AM6" s="840">
        <f t="shared" si="3"/>
        <v>0</v>
      </c>
      <c r="AN6" s="830"/>
      <c r="AO6" s="416"/>
      <c r="AP6" s="841"/>
      <c r="AQ6" s="609">
        <v>12</v>
      </c>
      <c r="AR6" s="609" t="s">
        <v>332</v>
      </c>
      <c r="AS6" s="610">
        <f>SUM(AA6:AB11)</f>
        <v>360.73726113000004</v>
      </c>
      <c r="AT6" s="846">
        <f>SUM(AC6:AC11)</f>
        <v>0</v>
      </c>
      <c r="AU6" s="846">
        <f>SUM(AS6:AT6)</f>
        <v>360.73726113000004</v>
      </c>
      <c r="AV6" s="610">
        <f>SUM(AG6:AG11)</f>
        <v>52.72112306590229</v>
      </c>
      <c r="AW6" s="613">
        <f>+AV6/AS6</f>
        <v>0.14614826009587906</v>
      </c>
      <c r="AX6" s="610">
        <f>SUM(AH6:AH11)</f>
        <v>52.72112306590229</v>
      </c>
      <c r="AY6" s="613">
        <f aca="true" t="shared" si="11" ref="AY6:AY22">+AX6/AS6</f>
        <v>0.14614826009587906</v>
      </c>
    </row>
    <row r="7" spans="1:51" ht="20.25">
      <c r="A7" s="822">
        <v>12</v>
      </c>
      <c r="B7" s="822" t="s">
        <v>253</v>
      </c>
      <c r="C7" s="843" t="s">
        <v>497</v>
      </c>
      <c r="D7" s="844">
        <v>1770.1818600000001</v>
      </c>
      <c r="E7" s="841">
        <v>1202</v>
      </c>
      <c r="F7" s="844">
        <v>1769.81</v>
      </c>
      <c r="G7" s="844">
        <v>1771</v>
      </c>
      <c r="H7" s="844"/>
      <c r="I7" s="822" t="s">
        <v>207</v>
      </c>
      <c r="J7" s="836"/>
      <c r="L7" s="845">
        <f t="shared" si="4"/>
        <v>0</v>
      </c>
      <c r="N7" s="837"/>
      <c r="O7" s="416"/>
      <c r="P7" s="416"/>
      <c r="Q7" s="546">
        <f t="shared" si="5"/>
        <v>0</v>
      </c>
      <c r="S7" s="546">
        <f t="shared" si="6"/>
        <v>0</v>
      </c>
      <c r="T7" s="837"/>
      <c r="U7" s="416"/>
      <c r="V7" s="416"/>
      <c r="W7" s="546">
        <f t="shared" si="7"/>
        <v>0</v>
      </c>
      <c r="Y7" s="546">
        <f t="shared" si="8"/>
        <v>0</v>
      </c>
      <c r="Z7" s="837"/>
      <c r="AA7" s="838"/>
      <c r="AB7" s="838"/>
      <c r="AC7" s="838"/>
      <c r="AD7" s="555"/>
      <c r="AE7" s="839"/>
      <c r="AF7" s="556">
        <f t="shared" si="1"/>
        <v>0</v>
      </c>
      <c r="AG7" s="555">
        <f t="shared" si="2"/>
        <v>0</v>
      </c>
      <c r="AH7" s="556">
        <f t="shared" si="9"/>
        <v>0</v>
      </c>
      <c r="AI7" s="561"/>
      <c r="AJ7" s="556"/>
      <c r="AK7" s="556"/>
      <c r="AL7" s="556">
        <f t="shared" si="10"/>
        <v>0</v>
      </c>
      <c r="AM7" s="840">
        <f t="shared" si="3"/>
        <v>0</v>
      </c>
      <c r="AN7" s="830"/>
      <c r="AO7" s="416"/>
      <c r="AP7" s="841"/>
      <c r="AQ7" s="609">
        <v>13</v>
      </c>
      <c r="AR7" s="609" t="s">
        <v>215</v>
      </c>
      <c r="AS7" s="610">
        <f>SUM(AA12:AB21)</f>
        <v>2375.7077952</v>
      </c>
      <c r="AT7" s="846">
        <f>SUM(AC12:AC21)</f>
        <v>0</v>
      </c>
      <c r="AU7" s="846">
        <f aca="true" t="shared" si="12" ref="AU7:AU22">SUM(AS7:AT7)</f>
        <v>2375.7077952</v>
      </c>
      <c r="AV7" s="610">
        <f>SUM(AG12:AG21)</f>
        <v>240.9259520296772</v>
      </c>
      <c r="AW7" s="613">
        <f aca="true" t="shared" si="13" ref="AW7:AW21">+AV7/AS7</f>
        <v>0.10141228332729142</v>
      </c>
      <c r="AX7" s="610">
        <f>SUM(AH12:AH21)</f>
        <v>240.9259520296772</v>
      </c>
      <c r="AY7" s="613">
        <f t="shared" si="11"/>
        <v>0.10141228332729142</v>
      </c>
    </row>
    <row r="8" spans="1:51" ht="20.25">
      <c r="A8" s="822">
        <v>12</v>
      </c>
      <c r="B8" s="822" t="s">
        <v>255</v>
      </c>
      <c r="C8" s="843" t="s">
        <v>498</v>
      </c>
      <c r="D8" s="844">
        <v>1217.83908</v>
      </c>
      <c r="E8" s="841">
        <v>1203</v>
      </c>
      <c r="F8" s="844">
        <v>1217.81</v>
      </c>
      <c r="G8" s="844">
        <v>1220</v>
      </c>
      <c r="H8" s="844"/>
      <c r="I8" s="822" t="s">
        <v>207</v>
      </c>
      <c r="J8" s="836"/>
      <c r="L8" s="845">
        <f t="shared" si="4"/>
        <v>0</v>
      </c>
      <c r="N8" s="837"/>
      <c r="O8" s="416"/>
      <c r="P8" s="416"/>
      <c r="Q8" s="546">
        <f t="shared" si="5"/>
        <v>0</v>
      </c>
      <c r="S8" s="546">
        <f t="shared" si="6"/>
        <v>0</v>
      </c>
      <c r="T8" s="837"/>
      <c r="U8" s="416"/>
      <c r="V8" s="416"/>
      <c r="W8" s="546">
        <f t="shared" si="7"/>
        <v>0</v>
      </c>
      <c r="Y8" s="546">
        <f t="shared" si="8"/>
        <v>0</v>
      </c>
      <c r="Z8" s="837"/>
      <c r="AA8" s="838"/>
      <c r="AB8" s="838"/>
      <c r="AC8" s="838"/>
      <c r="AD8" s="555"/>
      <c r="AE8" s="839"/>
      <c r="AF8" s="556">
        <f t="shared" si="1"/>
        <v>0</v>
      </c>
      <c r="AG8" s="555">
        <f t="shared" si="2"/>
        <v>0</v>
      </c>
      <c r="AH8" s="556">
        <f t="shared" si="9"/>
        <v>0</v>
      </c>
      <c r="AI8" s="561"/>
      <c r="AJ8" s="556"/>
      <c r="AK8" s="556"/>
      <c r="AL8" s="556">
        <f t="shared" si="10"/>
        <v>0</v>
      </c>
      <c r="AM8" s="840">
        <f t="shared" si="3"/>
        <v>0</v>
      </c>
      <c r="AN8" s="830"/>
      <c r="AO8" s="416"/>
      <c r="AP8" s="841"/>
      <c r="AQ8" s="609">
        <v>14</v>
      </c>
      <c r="AR8" s="609" t="s">
        <v>333</v>
      </c>
      <c r="AS8" s="610">
        <f>SUM(AA22:AB43)</f>
        <v>6981.913316599027</v>
      </c>
      <c r="AT8" s="846">
        <f>SUM(AC22:AC43)</f>
        <v>0</v>
      </c>
      <c r="AU8" s="846">
        <f t="shared" si="12"/>
        <v>6981.913316599027</v>
      </c>
      <c r="AV8" s="610">
        <f>SUM(AG22:AG43)</f>
        <v>667.3342031408893</v>
      </c>
      <c r="AW8" s="613">
        <f t="shared" si="13"/>
        <v>0.09558041941803364</v>
      </c>
      <c r="AX8" s="610">
        <f>SUM(AH22:AH43)</f>
        <v>667.3342031408893</v>
      </c>
      <c r="AY8" s="613">
        <f t="shared" si="11"/>
        <v>0.09558041941803364</v>
      </c>
    </row>
    <row r="9" spans="1:51" ht="20.25">
      <c r="A9" s="822">
        <v>12</v>
      </c>
      <c r="B9" s="822" t="s">
        <v>313</v>
      </c>
      <c r="C9" s="843" t="s">
        <v>499</v>
      </c>
      <c r="D9" s="844">
        <v>323.84273887</v>
      </c>
      <c r="E9" s="841">
        <v>1204</v>
      </c>
      <c r="F9" s="844">
        <v>685.08</v>
      </c>
      <c r="G9" s="844">
        <v>378</v>
      </c>
      <c r="H9" s="844">
        <f>+F9-D9-O9-U9</f>
        <v>117.23726113000004</v>
      </c>
      <c r="I9" s="822" t="s">
        <v>207</v>
      </c>
      <c r="J9" s="847">
        <v>116.73726113000004</v>
      </c>
      <c r="K9" s="845"/>
      <c r="L9" s="845">
        <f t="shared" si="4"/>
        <v>116.73726113000004</v>
      </c>
      <c r="M9" s="615">
        <v>0.15</v>
      </c>
      <c r="N9" s="848">
        <f>L9*M9</f>
        <v>17.510589169500005</v>
      </c>
      <c r="O9" s="416">
        <v>244</v>
      </c>
      <c r="P9" s="416"/>
      <c r="Q9" s="546">
        <f t="shared" si="5"/>
        <v>244</v>
      </c>
      <c r="R9" s="615">
        <v>0.15</v>
      </c>
      <c r="S9" s="845">
        <f t="shared" si="6"/>
        <v>36.6</v>
      </c>
      <c r="T9" s="848"/>
      <c r="U9" s="416"/>
      <c r="V9" s="416"/>
      <c r="W9" s="546">
        <f t="shared" si="7"/>
        <v>0</v>
      </c>
      <c r="X9" s="615">
        <v>0</v>
      </c>
      <c r="Y9" s="845">
        <f t="shared" si="8"/>
        <v>0</v>
      </c>
      <c r="Z9" s="848">
        <f>0.15*(R9+U9)</f>
        <v>0.0225</v>
      </c>
      <c r="AA9" s="838">
        <v>360.73726113000004</v>
      </c>
      <c r="AB9" s="838">
        <v>0</v>
      </c>
      <c r="AC9" s="838"/>
      <c r="AD9" s="555">
        <f aca="true" t="shared" si="14" ref="AD9:AD72">SUM(AA9:AC9)</f>
        <v>360.73726113000004</v>
      </c>
      <c r="AE9" s="839">
        <v>0.5</v>
      </c>
      <c r="AF9" s="556">
        <f t="shared" si="1"/>
        <v>180.36863056500002</v>
      </c>
      <c r="AG9" s="555">
        <f t="shared" si="2"/>
        <v>52.72112306590229</v>
      </c>
      <c r="AH9" s="556">
        <f t="shared" si="9"/>
        <v>52.72112306590229</v>
      </c>
      <c r="AI9" s="561">
        <f aca="true" t="shared" si="15" ref="AI9:AI69">+AH9/AD9</f>
        <v>0.14614826009587906</v>
      </c>
      <c r="AJ9" s="556"/>
      <c r="AK9" s="556"/>
      <c r="AL9" s="556">
        <f t="shared" si="10"/>
        <v>54.1105891695</v>
      </c>
      <c r="AM9" s="840">
        <f t="shared" si="3"/>
        <v>0.0225</v>
      </c>
      <c r="AN9" s="830"/>
      <c r="AO9" s="416"/>
      <c r="AP9" s="841"/>
      <c r="AQ9" s="609">
        <v>15</v>
      </c>
      <c r="AR9" s="609" t="s">
        <v>334</v>
      </c>
      <c r="AS9" s="610">
        <f>SUM(AA44:AB45)</f>
        <v>1234.6223</v>
      </c>
      <c r="AT9" s="846">
        <f>SUM(AC44:AC45)</f>
        <v>0</v>
      </c>
      <c r="AU9" s="846">
        <f t="shared" si="12"/>
        <v>1234.6223</v>
      </c>
      <c r="AV9" s="610">
        <f>SUM(AG44:AG45)</f>
        <v>291.07792138425265</v>
      </c>
      <c r="AW9" s="613">
        <f t="shared" si="13"/>
        <v>0.23576272790816483</v>
      </c>
      <c r="AX9" s="610">
        <f>SUM(AH44:AH45)</f>
        <v>291.07792138425265</v>
      </c>
      <c r="AY9" s="613">
        <f t="shared" si="11"/>
        <v>0.23576272790816483</v>
      </c>
    </row>
    <row r="10" spans="1:51" ht="20.25">
      <c r="A10" s="822">
        <v>12</v>
      </c>
      <c r="B10" s="822" t="s">
        <v>254</v>
      </c>
      <c r="C10" s="843" t="s">
        <v>500</v>
      </c>
      <c r="D10" s="844">
        <v>15.639370000000001</v>
      </c>
      <c r="E10" s="841">
        <v>1206</v>
      </c>
      <c r="F10" s="844">
        <v>15.64</v>
      </c>
      <c r="G10" s="844">
        <v>16</v>
      </c>
      <c r="H10" s="844"/>
      <c r="I10" s="822" t="s">
        <v>207</v>
      </c>
      <c r="J10" s="836"/>
      <c r="L10" s="845">
        <f t="shared" si="4"/>
        <v>0</v>
      </c>
      <c r="N10" s="837">
        <f aca="true" t="shared" si="16" ref="N10:N73">L10*M10</f>
        <v>0</v>
      </c>
      <c r="O10" s="416"/>
      <c r="P10" s="416"/>
      <c r="Q10" s="546">
        <f t="shared" si="5"/>
        <v>0</v>
      </c>
      <c r="S10" s="546">
        <f t="shared" si="6"/>
        <v>0</v>
      </c>
      <c r="T10" s="837"/>
      <c r="U10" s="416"/>
      <c r="V10" s="416"/>
      <c r="W10" s="546">
        <f t="shared" si="7"/>
        <v>0</v>
      </c>
      <c r="Y10" s="546">
        <f t="shared" si="8"/>
        <v>0</v>
      </c>
      <c r="Z10" s="837"/>
      <c r="AA10" s="838"/>
      <c r="AB10" s="838"/>
      <c r="AC10" s="838"/>
      <c r="AD10" s="555"/>
      <c r="AE10" s="839"/>
      <c r="AF10" s="556">
        <f t="shared" si="1"/>
        <v>0</v>
      </c>
      <c r="AG10" s="555">
        <f t="shared" si="2"/>
        <v>0</v>
      </c>
      <c r="AH10" s="556">
        <f t="shared" si="9"/>
        <v>0</v>
      </c>
      <c r="AI10" s="561"/>
      <c r="AJ10" s="556"/>
      <c r="AK10" s="556"/>
      <c r="AL10" s="556">
        <f t="shared" si="10"/>
        <v>0</v>
      </c>
      <c r="AM10" s="840">
        <f t="shared" si="3"/>
        <v>0</v>
      </c>
      <c r="AN10" s="830"/>
      <c r="AO10" s="416"/>
      <c r="AP10" s="841"/>
      <c r="AQ10" s="609">
        <v>16</v>
      </c>
      <c r="AR10" s="609" t="s">
        <v>216</v>
      </c>
      <c r="AS10" s="610">
        <f>SUM(AA46:AB46)</f>
        <v>1143.74</v>
      </c>
      <c r="AT10" s="846">
        <f>SUM(AC46)</f>
        <v>0</v>
      </c>
      <c r="AU10" s="846">
        <f t="shared" si="12"/>
        <v>1143.74</v>
      </c>
      <c r="AV10" s="610">
        <f>SUM(AG46)</f>
        <v>167.1556110020607</v>
      </c>
      <c r="AW10" s="613">
        <f t="shared" si="13"/>
        <v>0.14614826009587906</v>
      </c>
      <c r="AX10" s="610">
        <f>SUM(AH46)</f>
        <v>167.1556110020607</v>
      </c>
      <c r="AY10" s="613">
        <f t="shared" si="11"/>
        <v>0.14614826009587906</v>
      </c>
    </row>
    <row r="11" spans="1:51" ht="20.25">
      <c r="A11" s="822">
        <v>12</v>
      </c>
      <c r="B11" s="822" t="s">
        <v>256</v>
      </c>
      <c r="C11" s="843" t="s">
        <v>501</v>
      </c>
      <c r="D11" s="844">
        <v>5808.60301</v>
      </c>
      <c r="E11" s="841">
        <v>1250</v>
      </c>
      <c r="F11" s="844">
        <v>5809</v>
      </c>
      <c r="G11" s="844">
        <v>5815</v>
      </c>
      <c r="H11" s="844"/>
      <c r="I11" s="822" t="s">
        <v>207</v>
      </c>
      <c r="J11" s="836"/>
      <c r="L11" s="845">
        <f t="shared" si="4"/>
        <v>0</v>
      </c>
      <c r="N11" s="837">
        <f t="shared" si="16"/>
        <v>0</v>
      </c>
      <c r="O11" s="416"/>
      <c r="P11" s="416"/>
      <c r="Q11" s="546">
        <f t="shared" si="5"/>
        <v>0</v>
      </c>
      <c r="S11" s="546">
        <f t="shared" si="6"/>
        <v>0</v>
      </c>
      <c r="T11" s="837"/>
      <c r="U11" s="416"/>
      <c r="V11" s="416"/>
      <c r="W11" s="546">
        <f t="shared" si="7"/>
        <v>0</v>
      </c>
      <c r="Y11" s="546">
        <f t="shared" si="8"/>
        <v>0</v>
      </c>
      <c r="Z11" s="837"/>
      <c r="AA11" s="838"/>
      <c r="AB11" s="838"/>
      <c r="AC11" s="838"/>
      <c r="AD11" s="555"/>
      <c r="AE11" s="839"/>
      <c r="AF11" s="556">
        <f t="shared" si="1"/>
        <v>0</v>
      </c>
      <c r="AG11" s="555">
        <f t="shared" si="2"/>
        <v>0</v>
      </c>
      <c r="AH11" s="556">
        <f t="shared" si="9"/>
        <v>0</v>
      </c>
      <c r="AI11" s="561"/>
      <c r="AJ11" s="556"/>
      <c r="AK11" s="556"/>
      <c r="AL11" s="556">
        <f t="shared" si="10"/>
        <v>0</v>
      </c>
      <c r="AM11" s="840">
        <f t="shared" si="3"/>
        <v>0</v>
      </c>
      <c r="AN11" s="830"/>
      <c r="AO11" s="416"/>
      <c r="AP11" s="841"/>
      <c r="AQ11" s="609">
        <v>17</v>
      </c>
      <c r="AR11" s="609" t="s">
        <v>335</v>
      </c>
      <c r="AS11" s="610">
        <f>SUM(AA47:AB49)</f>
        <v>787.966272</v>
      </c>
      <c r="AT11" s="846">
        <f>SUM(AC47:AC49)</f>
        <v>0</v>
      </c>
      <c r="AU11" s="846">
        <f t="shared" si="12"/>
        <v>787.966272</v>
      </c>
      <c r="AV11" s="610">
        <f>SUM(AG47:AG49)</f>
        <v>141.52303946501817</v>
      </c>
      <c r="AW11" s="613">
        <f t="shared" si="13"/>
        <v>0.1796054532966332</v>
      </c>
      <c r="AX11" s="610">
        <f>SUM(AH47:AH49)</f>
        <v>141.52303946501817</v>
      </c>
      <c r="AY11" s="613">
        <f t="shared" si="11"/>
        <v>0.1796054532966332</v>
      </c>
    </row>
    <row r="12" spans="1:51" ht="20.25">
      <c r="A12" s="822">
        <v>13</v>
      </c>
      <c r="B12" s="822" t="s">
        <v>257</v>
      </c>
      <c r="C12" s="843" t="s">
        <v>502</v>
      </c>
      <c r="D12" s="844">
        <v>970.65265</v>
      </c>
      <c r="E12" s="841">
        <v>1301</v>
      </c>
      <c r="F12" s="844">
        <v>970.57</v>
      </c>
      <c r="G12" s="844">
        <v>970</v>
      </c>
      <c r="H12" s="844"/>
      <c r="I12" s="822" t="s">
        <v>207</v>
      </c>
      <c r="J12" s="836"/>
      <c r="L12" s="845">
        <f t="shared" si="4"/>
        <v>0</v>
      </c>
      <c r="N12" s="837">
        <f t="shared" si="16"/>
        <v>0</v>
      </c>
      <c r="O12" s="416"/>
      <c r="P12" s="416"/>
      <c r="Q12" s="546">
        <f t="shared" si="5"/>
        <v>0</v>
      </c>
      <c r="S12" s="546">
        <f t="shared" si="6"/>
        <v>0</v>
      </c>
      <c r="T12" s="837"/>
      <c r="U12" s="416"/>
      <c r="V12" s="416"/>
      <c r="W12" s="546">
        <f t="shared" si="7"/>
        <v>0</v>
      </c>
      <c r="Y12" s="546">
        <f t="shared" si="8"/>
        <v>0</v>
      </c>
      <c r="Z12" s="837"/>
      <c r="AA12" s="838"/>
      <c r="AB12" s="838"/>
      <c r="AC12" s="838"/>
      <c r="AD12" s="555"/>
      <c r="AE12" s="839"/>
      <c r="AF12" s="556">
        <f t="shared" si="1"/>
        <v>0</v>
      </c>
      <c r="AG12" s="555">
        <f t="shared" si="2"/>
        <v>0</v>
      </c>
      <c r="AH12" s="556">
        <f t="shared" si="9"/>
        <v>0</v>
      </c>
      <c r="AI12" s="561"/>
      <c r="AJ12" s="556"/>
      <c r="AK12" s="556"/>
      <c r="AL12" s="556">
        <f t="shared" si="10"/>
        <v>0</v>
      </c>
      <c r="AM12" s="840">
        <f t="shared" si="3"/>
        <v>0</v>
      </c>
      <c r="AN12" s="830"/>
      <c r="AO12" s="416"/>
      <c r="AP12" s="841"/>
      <c r="AQ12" s="609">
        <v>18</v>
      </c>
      <c r="AR12" s="609" t="s">
        <v>217</v>
      </c>
      <c r="AS12" s="610">
        <f>SUM(AA50:AB56)</f>
        <v>3999.89878589</v>
      </c>
      <c r="AT12" s="846">
        <f>SUM(AC50:AC56)</f>
        <v>250</v>
      </c>
      <c r="AU12" s="846">
        <f t="shared" si="12"/>
        <v>4249.89878589</v>
      </c>
      <c r="AV12" s="610">
        <f>SUM(AG50:AG56)</f>
        <v>1225.8023718273635</v>
      </c>
      <c r="AW12" s="613">
        <f t="shared" si="13"/>
        <v>0.30645834743406275</v>
      </c>
      <c r="AX12" s="610">
        <f>SUM(AH50:AH56)</f>
        <v>1475.8023718273635</v>
      </c>
      <c r="AY12" s="613">
        <f t="shared" si="11"/>
        <v>0.3689599289445493</v>
      </c>
    </row>
    <row r="13" spans="1:51" ht="20.25">
      <c r="A13" s="822">
        <v>13</v>
      </c>
      <c r="B13" s="822" t="s">
        <v>260</v>
      </c>
      <c r="C13" s="843" t="s">
        <v>503</v>
      </c>
      <c r="D13" s="844">
        <v>-7.77403</v>
      </c>
      <c r="E13" s="841">
        <v>1302</v>
      </c>
      <c r="F13" s="844">
        <v>131.97</v>
      </c>
      <c r="G13" s="844">
        <v>19</v>
      </c>
      <c r="H13" s="844">
        <f>+F13-D13-O13-U13</f>
        <v>139.74403</v>
      </c>
      <c r="I13" s="822" t="s">
        <v>207</v>
      </c>
      <c r="J13" s="847">
        <v>139.74403</v>
      </c>
      <c r="K13" s="845"/>
      <c r="L13" s="845">
        <f t="shared" si="4"/>
        <v>139.74403</v>
      </c>
      <c r="M13" s="615">
        <v>0.25</v>
      </c>
      <c r="N13" s="848">
        <f t="shared" si="16"/>
        <v>34.9360075</v>
      </c>
      <c r="O13" s="416"/>
      <c r="P13" s="416"/>
      <c r="Q13" s="546">
        <f t="shared" si="5"/>
        <v>0</v>
      </c>
      <c r="R13" s="615"/>
      <c r="S13" s="845">
        <f t="shared" si="6"/>
        <v>0</v>
      </c>
      <c r="T13" s="848"/>
      <c r="U13" s="416"/>
      <c r="V13" s="416"/>
      <c r="W13" s="546">
        <f t="shared" si="7"/>
        <v>0</v>
      </c>
      <c r="X13" s="615">
        <v>0</v>
      </c>
      <c r="Y13" s="845">
        <f t="shared" si="8"/>
        <v>0</v>
      </c>
      <c r="Z13" s="848"/>
      <c r="AA13" s="838">
        <v>139.74403</v>
      </c>
      <c r="AB13" s="838">
        <v>0</v>
      </c>
      <c r="AC13" s="838"/>
      <c r="AD13" s="555">
        <f t="shared" si="14"/>
        <v>139.74403</v>
      </c>
      <c r="AE13" s="839">
        <v>0.5</v>
      </c>
      <c r="AF13" s="556">
        <f t="shared" si="1"/>
        <v>69.872015</v>
      </c>
      <c r="AG13" s="555">
        <f t="shared" si="2"/>
        <v>20.42334684328633</v>
      </c>
      <c r="AH13" s="556">
        <f t="shared" si="9"/>
        <v>20.42334684328633</v>
      </c>
      <c r="AI13" s="561">
        <f t="shared" si="15"/>
        <v>0.14614826009587906</v>
      </c>
      <c r="AJ13" s="556"/>
      <c r="AK13" s="556"/>
      <c r="AL13" s="556">
        <f t="shared" si="10"/>
        <v>34.9360075</v>
      </c>
      <c r="AM13" s="840">
        <f t="shared" si="3"/>
        <v>0</v>
      </c>
      <c r="AN13" s="830"/>
      <c r="AO13" s="416"/>
      <c r="AP13" s="841"/>
      <c r="AQ13" s="609">
        <v>19</v>
      </c>
      <c r="AR13" s="609" t="s">
        <v>336</v>
      </c>
      <c r="AS13" s="616">
        <f>SUM(AA57:AB57)</f>
        <v>576.7641231999996</v>
      </c>
      <c r="AT13" s="849">
        <f>SUM(AC57)</f>
        <v>0</v>
      </c>
      <c r="AU13" s="849">
        <f t="shared" si="12"/>
        <v>576.7641231999996</v>
      </c>
      <c r="AV13" s="616">
        <f>SUM(AG57)</f>
        <v>33.717229236562076</v>
      </c>
      <c r="AW13" s="619">
        <f t="shared" si="13"/>
        <v>0.05845930403835163</v>
      </c>
      <c r="AX13" s="616">
        <f>SUM(AH57)</f>
        <v>33.717229236562076</v>
      </c>
      <c r="AY13" s="619">
        <f t="shared" si="11"/>
        <v>0.05845930403835163</v>
      </c>
    </row>
    <row r="14" spans="1:51" ht="20.25">
      <c r="A14" s="822">
        <v>13</v>
      </c>
      <c r="B14" s="822" t="s">
        <v>231</v>
      </c>
      <c r="C14" s="843" t="s">
        <v>504</v>
      </c>
      <c r="D14" s="844">
        <v>116.88284</v>
      </c>
      <c r="E14" s="841">
        <v>1303</v>
      </c>
      <c r="F14" s="844">
        <v>106.35</v>
      </c>
      <c r="G14" s="844">
        <v>138</v>
      </c>
      <c r="H14" s="844"/>
      <c r="I14" s="822" t="s">
        <v>207</v>
      </c>
      <c r="J14" s="836"/>
      <c r="L14" s="845">
        <f t="shared" si="4"/>
        <v>0</v>
      </c>
      <c r="N14" s="837">
        <f t="shared" si="16"/>
        <v>0</v>
      </c>
      <c r="O14" s="416"/>
      <c r="P14" s="416"/>
      <c r="Q14" s="546">
        <f t="shared" si="5"/>
        <v>0</v>
      </c>
      <c r="S14" s="546">
        <f t="shared" si="6"/>
        <v>0</v>
      </c>
      <c r="T14" s="837"/>
      <c r="U14" s="416"/>
      <c r="V14" s="416"/>
      <c r="W14" s="546">
        <f t="shared" si="7"/>
        <v>0</v>
      </c>
      <c r="Y14" s="546">
        <f t="shared" si="8"/>
        <v>0</v>
      </c>
      <c r="Z14" s="837"/>
      <c r="AA14" s="838"/>
      <c r="AB14" s="838"/>
      <c r="AC14" s="838"/>
      <c r="AD14" s="555"/>
      <c r="AE14" s="839"/>
      <c r="AF14" s="556">
        <f t="shared" si="1"/>
        <v>0</v>
      </c>
      <c r="AG14" s="555">
        <f t="shared" si="2"/>
        <v>0</v>
      </c>
      <c r="AH14" s="556">
        <f t="shared" si="9"/>
        <v>0</v>
      </c>
      <c r="AI14" s="561"/>
      <c r="AJ14" s="556"/>
      <c r="AK14" s="556"/>
      <c r="AL14" s="556">
        <f t="shared" si="10"/>
        <v>0</v>
      </c>
      <c r="AM14" s="840">
        <f t="shared" si="3"/>
        <v>0</v>
      </c>
      <c r="AN14" s="830"/>
      <c r="AO14" s="416"/>
      <c r="AP14" s="841"/>
      <c r="AQ14" s="599">
        <v>1</v>
      </c>
      <c r="AR14" s="599" t="s">
        <v>1</v>
      </c>
      <c r="AS14" s="621">
        <f>SUM(AS6:AS13)</f>
        <v>17461.349854019027</v>
      </c>
      <c r="AT14" s="846">
        <f>SUM(AT6:AT13)</f>
        <v>250</v>
      </c>
      <c r="AU14" s="846">
        <f t="shared" si="12"/>
        <v>17711.349854019027</v>
      </c>
      <c r="AV14" s="621">
        <f>SUM(AV6:AV13)</f>
        <v>2820.257451151726</v>
      </c>
      <c r="AW14" s="613">
        <f t="shared" si="13"/>
        <v>0.16151428582152805</v>
      </c>
      <c r="AX14" s="621">
        <f>SUM(AX6:AX13)</f>
        <v>3070.257451151726</v>
      </c>
      <c r="AY14" s="624">
        <f t="shared" si="11"/>
        <v>0.1758316210842688</v>
      </c>
    </row>
    <row r="15" spans="1:51" ht="20.25">
      <c r="A15" s="822">
        <v>13</v>
      </c>
      <c r="B15" s="822" t="s">
        <v>232</v>
      </c>
      <c r="C15" s="843" t="s">
        <v>505</v>
      </c>
      <c r="D15" s="844">
        <v>547.01503</v>
      </c>
      <c r="E15" s="841">
        <v>1350</v>
      </c>
      <c r="F15" s="844">
        <v>547.01</v>
      </c>
      <c r="G15" s="844">
        <v>536</v>
      </c>
      <c r="H15" s="844"/>
      <c r="I15" s="822" t="s">
        <v>207</v>
      </c>
      <c r="J15" s="836"/>
      <c r="L15" s="845">
        <f t="shared" si="4"/>
        <v>0</v>
      </c>
      <c r="N15" s="837">
        <f t="shared" si="16"/>
        <v>0</v>
      </c>
      <c r="O15" s="416"/>
      <c r="P15" s="416"/>
      <c r="Q15" s="546">
        <f t="shared" si="5"/>
        <v>0</v>
      </c>
      <c r="S15" s="546">
        <f t="shared" si="6"/>
        <v>0</v>
      </c>
      <c r="T15" s="837"/>
      <c r="U15" s="416"/>
      <c r="V15" s="416"/>
      <c r="W15" s="546">
        <f t="shared" si="7"/>
        <v>0</v>
      </c>
      <c r="Y15" s="546">
        <f t="shared" si="8"/>
        <v>0</v>
      </c>
      <c r="Z15" s="837"/>
      <c r="AA15" s="838"/>
      <c r="AB15" s="838"/>
      <c r="AC15" s="838"/>
      <c r="AD15" s="555"/>
      <c r="AE15" s="839"/>
      <c r="AF15" s="556">
        <f t="shared" si="1"/>
        <v>0</v>
      </c>
      <c r="AG15" s="555">
        <f t="shared" si="2"/>
        <v>0</v>
      </c>
      <c r="AH15" s="556">
        <f t="shared" si="9"/>
        <v>0</v>
      </c>
      <c r="AI15" s="561"/>
      <c r="AJ15" s="556"/>
      <c r="AK15" s="556"/>
      <c r="AL15" s="556">
        <f t="shared" si="10"/>
        <v>0</v>
      </c>
      <c r="AM15" s="840">
        <f t="shared" si="3"/>
        <v>0</v>
      </c>
      <c r="AN15" s="830"/>
      <c r="AO15" s="416"/>
      <c r="AP15" s="841"/>
      <c r="AQ15" s="599">
        <v>2</v>
      </c>
      <c r="AR15" s="599" t="s">
        <v>337</v>
      </c>
      <c r="AS15" s="621">
        <f>SUM(AA58:AB61)</f>
        <v>138.2</v>
      </c>
      <c r="AT15" s="846">
        <f>SUM(AC58:AC61)</f>
        <v>0</v>
      </c>
      <c r="AU15" s="846">
        <f t="shared" si="12"/>
        <v>138.2</v>
      </c>
      <c r="AV15" s="621">
        <f>SUM(AG58:AG61)</f>
        <v>12.11861372715029</v>
      </c>
      <c r="AW15" s="613">
        <f t="shared" si="13"/>
        <v>0.08768895605752743</v>
      </c>
      <c r="AX15" s="621">
        <f>SUM(AH58:AH61)</f>
        <v>12.11861372715029</v>
      </c>
      <c r="AY15" s="624">
        <f t="shared" si="11"/>
        <v>0.08768895605752743</v>
      </c>
    </row>
    <row r="16" spans="1:51" ht="20.25">
      <c r="A16" s="822">
        <v>13</v>
      </c>
      <c r="B16" s="822" t="s">
        <v>258</v>
      </c>
      <c r="C16" s="843" t="s">
        <v>506</v>
      </c>
      <c r="D16" s="844">
        <v>463.45526079999996</v>
      </c>
      <c r="E16" s="841">
        <v>1351</v>
      </c>
      <c r="F16" s="844">
        <v>470</v>
      </c>
      <c r="G16" s="844">
        <v>453</v>
      </c>
      <c r="H16" s="844">
        <f>+F16-D16-O16-U16</f>
        <v>6.544739200000038</v>
      </c>
      <c r="I16" s="822" t="s">
        <v>207</v>
      </c>
      <c r="J16" s="847">
        <v>6.544739200000038</v>
      </c>
      <c r="K16" s="845"/>
      <c r="L16" s="845">
        <f t="shared" si="4"/>
        <v>6.544739200000038</v>
      </c>
      <c r="M16" s="615">
        <v>0.15</v>
      </c>
      <c r="N16" s="848">
        <f t="shared" si="16"/>
        <v>0.9817108800000056</v>
      </c>
      <c r="O16" s="416"/>
      <c r="P16" s="416"/>
      <c r="Q16" s="546">
        <f t="shared" si="5"/>
        <v>0</v>
      </c>
      <c r="R16" s="615"/>
      <c r="S16" s="845">
        <f t="shared" si="6"/>
        <v>0</v>
      </c>
      <c r="T16" s="848"/>
      <c r="U16" s="416"/>
      <c r="V16" s="416"/>
      <c r="W16" s="546">
        <f t="shared" si="7"/>
        <v>0</v>
      </c>
      <c r="X16" s="615">
        <v>0</v>
      </c>
      <c r="Y16" s="845">
        <f t="shared" si="8"/>
        <v>0</v>
      </c>
      <c r="Z16" s="848"/>
      <c r="AA16" s="838">
        <v>6.544739200000038</v>
      </c>
      <c r="AB16" s="838">
        <v>0</v>
      </c>
      <c r="AC16" s="838"/>
      <c r="AD16" s="555">
        <f t="shared" si="14"/>
        <v>6.544739200000038</v>
      </c>
      <c r="AE16" s="839">
        <v>0.2</v>
      </c>
      <c r="AF16" s="556">
        <f t="shared" si="1"/>
        <v>1.3089478400000076</v>
      </c>
      <c r="AG16" s="555">
        <f t="shared" si="2"/>
        <v>0.3826008987445204</v>
      </c>
      <c r="AH16" s="556">
        <f t="shared" si="9"/>
        <v>0.3826008987445204</v>
      </c>
      <c r="AI16" s="561">
        <f t="shared" si="15"/>
        <v>0.05845930403835163</v>
      </c>
      <c r="AJ16" s="556"/>
      <c r="AK16" s="556"/>
      <c r="AL16" s="556">
        <f t="shared" si="10"/>
        <v>0.9817108800000056</v>
      </c>
      <c r="AM16" s="840">
        <f t="shared" si="3"/>
        <v>0</v>
      </c>
      <c r="AN16" s="830"/>
      <c r="AO16" s="416"/>
      <c r="AP16" s="841"/>
      <c r="AQ16" s="599">
        <v>3</v>
      </c>
      <c r="AR16" s="599" t="s">
        <v>338</v>
      </c>
      <c r="AS16" s="621">
        <f>SUM(AA62:AB65)</f>
        <v>196.79896617000003</v>
      </c>
      <c r="AT16" s="846">
        <f>SUM(AC62:AC65)</f>
        <v>0</v>
      </c>
      <c r="AU16" s="846">
        <f t="shared" si="12"/>
        <v>196.79896617000003</v>
      </c>
      <c r="AV16" s="621">
        <f>SUM(AG62:AG65)</f>
        <v>18.97552891757673</v>
      </c>
      <c r="AW16" s="613">
        <f t="shared" si="13"/>
        <v>0.09642087703441074</v>
      </c>
      <c r="AX16" s="621">
        <f>SUM(AH62:AH65)</f>
        <v>18.97552891757673</v>
      </c>
      <c r="AY16" s="624">
        <f t="shared" si="11"/>
        <v>0.09642087703441074</v>
      </c>
    </row>
    <row r="17" spans="1:51" ht="20.25">
      <c r="A17" s="822">
        <v>13</v>
      </c>
      <c r="B17" s="822" t="s">
        <v>261</v>
      </c>
      <c r="C17" s="843" t="s">
        <v>507</v>
      </c>
      <c r="D17" s="844">
        <v>0</v>
      </c>
      <c r="E17" s="841">
        <v>1352</v>
      </c>
      <c r="F17" s="844">
        <v>787.95</v>
      </c>
      <c r="G17" s="844">
        <v>0</v>
      </c>
      <c r="H17" s="844">
        <f>+F17-D17-O17-U17</f>
        <v>226.95000000000005</v>
      </c>
      <c r="I17" s="822" t="s">
        <v>207</v>
      </c>
      <c r="J17" s="847">
        <f>276.25-50</f>
        <v>226.25</v>
      </c>
      <c r="K17" s="845"/>
      <c r="L17" s="845">
        <f t="shared" si="4"/>
        <v>226.25</v>
      </c>
      <c r="M17" s="615">
        <v>0.1</v>
      </c>
      <c r="N17" s="848">
        <f t="shared" si="16"/>
        <v>22.625</v>
      </c>
      <c r="O17" s="416">
        <v>561</v>
      </c>
      <c r="P17" s="416"/>
      <c r="Q17" s="546">
        <f t="shared" si="5"/>
        <v>561</v>
      </c>
      <c r="R17" s="615">
        <v>0.319</v>
      </c>
      <c r="S17" s="850">
        <f t="shared" si="6"/>
        <v>178.959</v>
      </c>
      <c r="T17" s="851">
        <v>50</v>
      </c>
      <c r="U17" s="416"/>
      <c r="V17" s="416"/>
      <c r="W17" s="546">
        <f t="shared" si="7"/>
        <v>0</v>
      </c>
      <c r="X17" s="615">
        <v>0</v>
      </c>
      <c r="Y17" s="845">
        <f t="shared" si="8"/>
        <v>0</v>
      </c>
      <c r="Z17" s="852">
        <v>100</v>
      </c>
      <c r="AA17" s="838">
        <v>787.25</v>
      </c>
      <c r="AB17" s="838">
        <v>0</v>
      </c>
      <c r="AC17" s="838"/>
      <c r="AD17" s="555">
        <f t="shared" si="14"/>
        <v>787.25</v>
      </c>
      <c r="AE17" s="839">
        <v>0.6</v>
      </c>
      <c r="AF17" s="556">
        <f t="shared" si="1"/>
        <v>472.34999999999997</v>
      </c>
      <c r="AG17" s="555">
        <f t="shared" si="2"/>
        <v>138.06626131257693</v>
      </c>
      <c r="AH17" s="556">
        <f t="shared" si="9"/>
        <v>138.06626131257693</v>
      </c>
      <c r="AI17" s="561">
        <f t="shared" si="15"/>
        <v>0.17537791211505485</v>
      </c>
      <c r="AJ17" s="556"/>
      <c r="AK17" s="556"/>
      <c r="AL17" s="556">
        <f t="shared" si="10"/>
        <v>201.584</v>
      </c>
      <c r="AM17" s="840">
        <f t="shared" si="3"/>
        <v>150</v>
      </c>
      <c r="AN17" s="830">
        <v>200</v>
      </c>
      <c r="AO17" s="416"/>
      <c r="AP17" s="841"/>
      <c r="AQ17" s="599">
        <v>4</v>
      </c>
      <c r="AR17" s="599" t="s">
        <v>339</v>
      </c>
      <c r="AS17" s="621">
        <f>SUM(AA66:AB70)</f>
        <v>1830</v>
      </c>
      <c r="AT17" s="846">
        <f>SUM(AC66:AC70)</f>
        <v>0</v>
      </c>
      <c r="AU17" s="846">
        <f t="shared" si="12"/>
        <v>1830</v>
      </c>
      <c r="AV17" s="621">
        <f>SUM(AG66:AG70)</f>
        <v>142.7137759836259</v>
      </c>
      <c r="AW17" s="613">
        <f t="shared" si="13"/>
        <v>0.0779856699364076</v>
      </c>
      <c r="AX17" s="621">
        <f>SUM(AH66:AH70)</f>
        <v>142.7137759836259</v>
      </c>
      <c r="AY17" s="624">
        <f t="shared" si="11"/>
        <v>0.0779856699364076</v>
      </c>
    </row>
    <row r="18" spans="1:51" ht="20.25">
      <c r="A18" s="822">
        <v>13</v>
      </c>
      <c r="B18" s="822" t="s">
        <v>262</v>
      </c>
      <c r="C18" s="843" t="s">
        <v>508</v>
      </c>
      <c r="D18" s="844">
        <v>0</v>
      </c>
      <c r="E18" s="841">
        <v>1353</v>
      </c>
      <c r="F18" s="844">
        <v>122.61</v>
      </c>
      <c r="G18" s="844">
        <v>0</v>
      </c>
      <c r="H18" s="844">
        <f>+F18-D18-O18-U18</f>
        <v>32.61</v>
      </c>
      <c r="I18" s="822" t="s">
        <v>207</v>
      </c>
      <c r="J18" s="847">
        <v>32.51</v>
      </c>
      <c r="K18" s="845"/>
      <c r="L18" s="845">
        <f t="shared" si="4"/>
        <v>32.51</v>
      </c>
      <c r="M18" s="615">
        <v>0.1</v>
      </c>
      <c r="N18" s="848">
        <f t="shared" si="16"/>
        <v>3.251</v>
      </c>
      <c r="O18" s="416">
        <v>90</v>
      </c>
      <c r="P18" s="416"/>
      <c r="Q18" s="546">
        <f t="shared" si="5"/>
        <v>90</v>
      </c>
      <c r="R18" s="615">
        <v>0.25</v>
      </c>
      <c r="S18" s="845">
        <f t="shared" si="6"/>
        <v>22.5</v>
      </c>
      <c r="T18" s="848"/>
      <c r="U18" s="416"/>
      <c r="V18" s="416"/>
      <c r="W18" s="546">
        <f t="shared" si="7"/>
        <v>0</v>
      </c>
      <c r="X18" s="615">
        <v>0</v>
      </c>
      <c r="Y18" s="845">
        <f t="shared" si="8"/>
        <v>0</v>
      </c>
      <c r="Z18" s="848"/>
      <c r="AA18" s="838">
        <v>122.51</v>
      </c>
      <c r="AB18" s="838">
        <v>0</v>
      </c>
      <c r="AC18" s="838"/>
      <c r="AD18" s="555">
        <f t="shared" si="14"/>
        <v>122.51</v>
      </c>
      <c r="AE18" s="839">
        <v>0.5</v>
      </c>
      <c r="AF18" s="556">
        <f t="shared" si="1"/>
        <v>61.255</v>
      </c>
      <c r="AG18" s="555">
        <f t="shared" si="2"/>
        <v>17.904623344346145</v>
      </c>
      <c r="AH18" s="556">
        <f t="shared" si="9"/>
        <v>17.904623344346145</v>
      </c>
      <c r="AI18" s="561">
        <f t="shared" si="15"/>
        <v>0.14614826009587906</v>
      </c>
      <c r="AJ18" s="556"/>
      <c r="AK18" s="556"/>
      <c r="AL18" s="556">
        <f t="shared" si="10"/>
        <v>25.751</v>
      </c>
      <c r="AM18" s="840">
        <f t="shared" si="3"/>
        <v>0</v>
      </c>
      <c r="AN18" s="830"/>
      <c r="AO18" s="416"/>
      <c r="AP18" s="841"/>
      <c r="AQ18" s="599">
        <v>5</v>
      </c>
      <c r="AR18" s="599" t="s">
        <v>340</v>
      </c>
      <c r="AS18" s="621">
        <f>SUM(AA71:AB77)</f>
        <v>753.1</v>
      </c>
      <c r="AT18" s="846">
        <f>SUM(AC71:AC77)</f>
        <v>0</v>
      </c>
      <c r="AU18" s="846">
        <f t="shared" si="12"/>
        <v>753.1</v>
      </c>
      <c r="AV18" s="621">
        <f>SUM(AG71:AG77)</f>
        <v>66.0385528069239</v>
      </c>
      <c r="AW18" s="613">
        <f t="shared" si="13"/>
        <v>0.08768895605752743</v>
      </c>
      <c r="AX18" s="621">
        <f>SUM(AH71:AH77)</f>
        <v>66.0385528069239</v>
      </c>
      <c r="AY18" s="624">
        <f t="shared" si="11"/>
        <v>0.08768895605752743</v>
      </c>
    </row>
    <row r="19" spans="1:51" ht="20.25">
      <c r="A19" s="822">
        <v>13</v>
      </c>
      <c r="B19" s="822" t="s">
        <v>233</v>
      </c>
      <c r="C19" s="843" t="s">
        <v>509</v>
      </c>
      <c r="D19" s="844">
        <v>0</v>
      </c>
      <c r="E19" s="841">
        <v>1354</v>
      </c>
      <c r="F19" s="844">
        <v>106.07</v>
      </c>
      <c r="G19" s="844">
        <v>0</v>
      </c>
      <c r="H19" s="844"/>
      <c r="I19" s="822" t="s">
        <v>207</v>
      </c>
      <c r="J19" s="847"/>
      <c r="K19" s="845"/>
      <c r="L19" s="845">
        <f t="shared" si="4"/>
        <v>0</v>
      </c>
      <c r="M19" s="615"/>
      <c r="N19" s="848">
        <f t="shared" si="16"/>
        <v>0</v>
      </c>
      <c r="O19" s="416">
        <v>106</v>
      </c>
      <c r="P19" s="416"/>
      <c r="Q19" s="546">
        <f t="shared" si="5"/>
        <v>106</v>
      </c>
      <c r="R19" s="615">
        <v>0.25</v>
      </c>
      <c r="S19" s="845">
        <f t="shared" si="6"/>
        <v>26.5</v>
      </c>
      <c r="T19" s="848"/>
      <c r="U19" s="416"/>
      <c r="V19" s="416"/>
      <c r="W19" s="546">
        <f t="shared" si="7"/>
        <v>0</v>
      </c>
      <c r="X19" s="615">
        <v>0</v>
      </c>
      <c r="Y19" s="845">
        <f t="shared" si="8"/>
        <v>0</v>
      </c>
      <c r="Z19" s="848">
        <v>200</v>
      </c>
      <c r="AA19" s="838">
        <v>106</v>
      </c>
      <c r="AB19" s="838">
        <v>0</v>
      </c>
      <c r="AC19" s="838"/>
      <c r="AD19" s="555">
        <f t="shared" si="14"/>
        <v>106</v>
      </c>
      <c r="AE19" s="839">
        <v>0.75</v>
      </c>
      <c r="AF19" s="556">
        <f t="shared" si="1"/>
        <v>79.5</v>
      </c>
      <c r="AG19" s="555">
        <f t="shared" si="2"/>
        <v>23.23757335524477</v>
      </c>
      <c r="AH19" s="556">
        <f t="shared" si="9"/>
        <v>23.23757335524477</v>
      </c>
      <c r="AI19" s="561">
        <f t="shared" si="15"/>
        <v>0.21922239014381859</v>
      </c>
      <c r="AJ19" s="556"/>
      <c r="AK19" s="556"/>
      <c r="AL19" s="556">
        <f t="shared" si="10"/>
        <v>26.5</v>
      </c>
      <c r="AM19" s="840">
        <f t="shared" si="3"/>
        <v>200</v>
      </c>
      <c r="AN19" s="830"/>
      <c r="AO19" s="416"/>
      <c r="AP19" s="841"/>
      <c r="AQ19" s="599">
        <v>6</v>
      </c>
      <c r="AR19" s="599" t="s">
        <v>341</v>
      </c>
      <c r="AS19" s="621">
        <f>SUM(AA78:AB82)</f>
        <v>576</v>
      </c>
      <c r="AT19" s="846">
        <f>SUM(AC78:AC82)</f>
        <v>50</v>
      </c>
      <c r="AU19" s="846">
        <f t="shared" si="12"/>
        <v>626</v>
      </c>
      <c r="AV19" s="621">
        <f>SUM(AG78:AG82)</f>
        <v>91.108825343771</v>
      </c>
      <c r="AW19" s="613">
        <f t="shared" si="13"/>
        <v>0.15817504399960244</v>
      </c>
      <c r="AX19" s="621">
        <f>SUM(AH78:AH82)</f>
        <v>141.108825343771</v>
      </c>
      <c r="AY19" s="624">
        <f t="shared" si="11"/>
        <v>0.244980599555158</v>
      </c>
    </row>
    <row r="20" spans="1:51" ht="20.25">
      <c r="A20" s="822">
        <v>13</v>
      </c>
      <c r="B20" s="822" t="s">
        <v>263</v>
      </c>
      <c r="C20" s="843" t="s">
        <v>510</v>
      </c>
      <c r="D20" s="844">
        <v>0</v>
      </c>
      <c r="E20" s="841">
        <v>1355</v>
      </c>
      <c r="F20" s="844">
        <v>93.42</v>
      </c>
      <c r="G20" s="844">
        <v>0</v>
      </c>
      <c r="H20" s="844"/>
      <c r="I20" s="822" t="s">
        <v>207</v>
      </c>
      <c r="J20" s="847"/>
      <c r="K20" s="845"/>
      <c r="L20" s="845">
        <f t="shared" si="4"/>
        <v>0</v>
      </c>
      <c r="M20" s="615"/>
      <c r="N20" s="848">
        <f t="shared" si="16"/>
        <v>0</v>
      </c>
      <c r="O20" s="416">
        <v>93</v>
      </c>
      <c r="P20" s="416"/>
      <c r="Q20" s="546">
        <f t="shared" si="5"/>
        <v>93</v>
      </c>
      <c r="R20" s="615">
        <v>0.25</v>
      </c>
      <c r="S20" s="845">
        <f t="shared" si="6"/>
        <v>23.25</v>
      </c>
      <c r="T20" s="848"/>
      <c r="U20" s="416"/>
      <c r="V20" s="416"/>
      <c r="W20" s="546">
        <f t="shared" si="7"/>
        <v>0</v>
      </c>
      <c r="X20" s="615">
        <v>0</v>
      </c>
      <c r="Y20" s="845">
        <f t="shared" si="8"/>
        <v>0</v>
      </c>
      <c r="Z20" s="848"/>
      <c r="AA20" s="838">
        <v>93</v>
      </c>
      <c r="AB20" s="838">
        <v>0</v>
      </c>
      <c r="AC20" s="838"/>
      <c r="AD20" s="555">
        <f t="shared" si="14"/>
        <v>93</v>
      </c>
      <c r="AE20" s="839">
        <v>0.3</v>
      </c>
      <c r="AF20" s="556">
        <f t="shared" si="1"/>
        <v>27.9</v>
      </c>
      <c r="AG20" s="555">
        <f t="shared" si="2"/>
        <v>8.15507291335005</v>
      </c>
      <c r="AH20" s="556">
        <f t="shared" si="9"/>
        <v>8.15507291335005</v>
      </c>
      <c r="AI20" s="561">
        <f t="shared" si="15"/>
        <v>0.08768895605752743</v>
      </c>
      <c r="AJ20" s="556"/>
      <c r="AK20" s="556"/>
      <c r="AL20" s="556">
        <f t="shared" si="10"/>
        <v>23.25</v>
      </c>
      <c r="AM20" s="840">
        <f t="shared" si="3"/>
        <v>0</v>
      </c>
      <c r="AN20" s="830"/>
      <c r="AO20" s="416"/>
      <c r="AP20" s="841"/>
      <c r="AQ20" s="599">
        <v>7</v>
      </c>
      <c r="AR20" s="599" t="s">
        <v>342</v>
      </c>
      <c r="AS20" s="621">
        <f>SUM(AA83:AB88)</f>
        <v>2875.0559359999997</v>
      </c>
      <c r="AT20" s="846">
        <f>SUM(AC83:AC88)</f>
        <v>0</v>
      </c>
      <c r="AU20" s="846">
        <f t="shared" si="12"/>
        <v>2875.0559359999997</v>
      </c>
      <c r="AV20" s="621">
        <f>SUM(AG83:AG88)</f>
        <v>513.8832922106635</v>
      </c>
      <c r="AW20" s="613">
        <f t="shared" si="13"/>
        <v>0.17873853714499124</v>
      </c>
      <c r="AX20" s="621">
        <f>SUM(AH83:AH88)</f>
        <v>513.8832922106635</v>
      </c>
      <c r="AY20" s="624">
        <f t="shared" si="11"/>
        <v>0.17873853714499124</v>
      </c>
    </row>
    <row r="21" spans="1:51" ht="21" thickBot="1">
      <c r="A21" s="822">
        <v>13</v>
      </c>
      <c r="B21" s="822" t="s">
        <v>259</v>
      </c>
      <c r="C21" s="843" t="s">
        <v>511</v>
      </c>
      <c r="D21" s="844">
        <v>923.410974</v>
      </c>
      <c r="E21" s="841">
        <v>1361</v>
      </c>
      <c r="F21" s="844">
        <v>2044.97</v>
      </c>
      <c r="G21" s="844">
        <v>841</v>
      </c>
      <c r="H21" s="844">
        <f>+F21-D21-O21-U21</f>
        <v>874.5590259999999</v>
      </c>
      <c r="I21" s="822" t="s">
        <v>207</v>
      </c>
      <c r="J21" s="847">
        <v>873.6590259999999</v>
      </c>
      <c r="K21" s="845"/>
      <c r="L21" s="845">
        <f t="shared" si="4"/>
        <v>873.6590259999999</v>
      </c>
      <c r="M21" s="615">
        <v>0.1</v>
      </c>
      <c r="N21" s="848">
        <f t="shared" si="16"/>
        <v>87.3659026</v>
      </c>
      <c r="O21" s="416">
        <v>247</v>
      </c>
      <c r="P21" s="416"/>
      <c r="Q21" s="546">
        <f t="shared" si="5"/>
        <v>247</v>
      </c>
      <c r="R21" s="615">
        <v>0.1</v>
      </c>
      <c r="S21" s="845">
        <f t="shared" si="6"/>
        <v>24.700000000000003</v>
      </c>
      <c r="T21" s="848"/>
      <c r="U21" s="416"/>
      <c r="V21" s="416"/>
      <c r="W21" s="546">
        <f t="shared" si="7"/>
        <v>0</v>
      </c>
      <c r="X21" s="615">
        <v>0</v>
      </c>
      <c r="Y21" s="845">
        <f t="shared" si="8"/>
        <v>0</v>
      </c>
      <c r="Z21" s="848">
        <v>50</v>
      </c>
      <c r="AA21" s="838">
        <v>1120.6590259999998</v>
      </c>
      <c r="AB21" s="838">
        <v>0</v>
      </c>
      <c r="AC21" s="838"/>
      <c r="AD21" s="555">
        <f t="shared" si="14"/>
        <v>1120.6590259999998</v>
      </c>
      <c r="AE21" s="839">
        <v>0.1</v>
      </c>
      <c r="AF21" s="556">
        <f t="shared" si="1"/>
        <v>112.06590259999999</v>
      </c>
      <c r="AG21" s="555">
        <f t="shared" si="2"/>
        <v>32.756473362128496</v>
      </c>
      <c r="AH21" s="556">
        <f t="shared" si="9"/>
        <v>32.756473362128496</v>
      </c>
      <c r="AI21" s="561">
        <f t="shared" si="15"/>
        <v>0.029229652019175816</v>
      </c>
      <c r="AJ21" s="556"/>
      <c r="AK21" s="556"/>
      <c r="AL21" s="556">
        <f t="shared" si="10"/>
        <v>112.0659026</v>
      </c>
      <c r="AM21" s="840">
        <f t="shared" si="3"/>
        <v>50</v>
      </c>
      <c r="AN21" s="830"/>
      <c r="AO21" s="416"/>
      <c r="AP21" s="841"/>
      <c r="AQ21" s="599">
        <v>8</v>
      </c>
      <c r="AR21" s="599" t="s">
        <v>343</v>
      </c>
      <c r="AS21" s="625">
        <f>SUM(AA89:AB98)</f>
        <v>3237.81033902839</v>
      </c>
      <c r="AT21" s="853">
        <f>SUM(AC89:AC98)</f>
        <v>690</v>
      </c>
      <c r="AU21" s="853">
        <f t="shared" si="12"/>
        <v>3927.81033902839</v>
      </c>
      <c r="AV21" s="625">
        <f>SUM(AG89:AG98)</f>
        <v>334.2886965357781</v>
      </c>
      <c r="AW21" s="854">
        <f t="shared" si="13"/>
        <v>0.10324529899305106</v>
      </c>
      <c r="AX21" s="625">
        <f>SUM(AH89:AH98)</f>
        <v>1024.2886965357782</v>
      </c>
      <c r="AY21" s="855">
        <f t="shared" si="11"/>
        <v>0.31635228419313444</v>
      </c>
    </row>
    <row r="22" spans="1:51" ht="21" thickTop="1">
      <c r="A22" s="822">
        <v>14</v>
      </c>
      <c r="B22" s="822" t="s">
        <v>264</v>
      </c>
      <c r="C22" s="843" t="s">
        <v>512</v>
      </c>
      <c r="D22" s="844">
        <v>304.04</v>
      </c>
      <c r="E22" s="841">
        <v>1401</v>
      </c>
      <c r="F22" s="844">
        <v>304.05</v>
      </c>
      <c r="G22" s="844">
        <v>304</v>
      </c>
      <c r="H22" s="844"/>
      <c r="I22" s="822" t="s">
        <v>207</v>
      </c>
      <c r="J22" s="836"/>
      <c r="L22" s="845">
        <f t="shared" si="4"/>
        <v>0</v>
      </c>
      <c r="N22" s="837">
        <f t="shared" si="16"/>
        <v>0</v>
      </c>
      <c r="O22" s="416"/>
      <c r="P22" s="416"/>
      <c r="Q22" s="546">
        <f t="shared" si="5"/>
        <v>0</v>
      </c>
      <c r="S22" s="546">
        <f t="shared" si="6"/>
        <v>0</v>
      </c>
      <c r="T22" s="837"/>
      <c r="U22" s="416"/>
      <c r="V22" s="416"/>
      <c r="W22" s="546">
        <f t="shared" si="7"/>
        <v>0</v>
      </c>
      <c r="Y22" s="546">
        <f t="shared" si="8"/>
        <v>0</v>
      </c>
      <c r="Z22" s="837"/>
      <c r="AA22" s="838"/>
      <c r="AB22" s="838"/>
      <c r="AC22" s="838"/>
      <c r="AD22" s="555"/>
      <c r="AE22" s="839"/>
      <c r="AF22" s="556">
        <f t="shared" si="1"/>
        <v>0</v>
      </c>
      <c r="AG22" s="555">
        <f t="shared" si="2"/>
        <v>0</v>
      </c>
      <c r="AH22" s="556">
        <f t="shared" si="9"/>
        <v>0</v>
      </c>
      <c r="AI22" s="561"/>
      <c r="AJ22" s="556"/>
      <c r="AK22" s="556"/>
      <c r="AL22" s="556">
        <f t="shared" si="10"/>
        <v>0</v>
      </c>
      <c r="AM22" s="840">
        <f t="shared" si="3"/>
        <v>0</v>
      </c>
      <c r="AN22" s="830"/>
      <c r="AO22" s="416"/>
      <c r="AP22" s="841"/>
      <c r="AQ22" s="599"/>
      <c r="AR22" s="599"/>
      <c r="AS22" s="621">
        <f>SUM(AS14:AS21)</f>
        <v>27068.31509521742</v>
      </c>
      <c r="AT22" s="846">
        <f>SUM(AT14:AT21)</f>
        <v>990</v>
      </c>
      <c r="AU22" s="846">
        <f t="shared" si="12"/>
        <v>28058.31509521742</v>
      </c>
      <c r="AV22" s="621">
        <f>SUM(AV14:AV21)</f>
        <v>3999.384736677215</v>
      </c>
      <c r="AW22" s="613">
        <f>+AV22/AS22</f>
        <v>0.14775152138611866</v>
      </c>
      <c r="AX22" s="621">
        <f>SUM(AX14:AX21)</f>
        <v>4989.384736677215</v>
      </c>
      <c r="AY22" s="632">
        <f t="shared" si="11"/>
        <v>0.18432564860894382</v>
      </c>
    </row>
    <row r="23" spans="1:42" ht="20.25">
      <c r="A23" s="822">
        <v>14</v>
      </c>
      <c r="B23" s="822" t="s">
        <v>265</v>
      </c>
      <c r="C23" s="843" t="s">
        <v>513</v>
      </c>
      <c r="D23" s="844">
        <v>239.14</v>
      </c>
      <c r="E23" s="841">
        <v>1402</v>
      </c>
      <c r="F23" s="844">
        <v>239.12</v>
      </c>
      <c r="G23" s="844">
        <v>239</v>
      </c>
      <c r="H23" s="844"/>
      <c r="I23" s="822" t="s">
        <v>207</v>
      </c>
      <c r="J23" s="836"/>
      <c r="L23" s="845">
        <f t="shared" si="4"/>
        <v>0</v>
      </c>
      <c r="N23" s="837">
        <f t="shared" si="16"/>
        <v>0</v>
      </c>
      <c r="O23" s="416"/>
      <c r="P23" s="416"/>
      <c r="Q23" s="546">
        <f t="shared" si="5"/>
        <v>0</v>
      </c>
      <c r="S23" s="546">
        <f t="shared" si="6"/>
        <v>0</v>
      </c>
      <c r="T23" s="837"/>
      <c r="U23" s="416"/>
      <c r="V23" s="416"/>
      <c r="W23" s="546">
        <f t="shared" si="7"/>
        <v>0</v>
      </c>
      <c r="Y23" s="546">
        <f t="shared" si="8"/>
        <v>0</v>
      </c>
      <c r="Z23" s="837"/>
      <c r="AA23" s="838"/>
      <c r="AB23" s="838"/>
      <c r="AC23" s="838"/>
      <c r="AD23" s="555"/>
      <c r="AE23" s="839"/>
      <c r="AF23" s="556">
        <f t="shared" si="1"/>
        <v>0</v>
      </c>
      <c r="AG23" s="555">
        <f t="shared" si="2"/>
        <v>0</v>
      </c>
      <c r="AH23" s="556">
        <f t="shared" si="9"/>
        <v>0</v>
      </c>
      <c r="AI23" s="561"/>
      <c r="AJ23" s="556"/>
      <c r="AK23" s="556"/>
      <c r="AL23" s="556">
        <f t="shared" si="10"/>
        <v>0</v>
      </c>
      <c r="AM23" s="840">
        <f t="shared" si="3"/>
        <v>0</v>
      </c>
      <c r="AN23" s="830"/>
      <c r="AO23" s="416"/>
      <c r="AP23" s="841"/>
    </row>
    <row r="24" spans="1:51" ht="23.25">
      <c r="A24" s="822">
        <v>14</v>
      </c>
      <c r="B24" s="822" t="s">
        <v>234</v>
      </c>
      <c r="C24" s="843" t="s">
        <v>514</v>
      </c>
      <c r="D24" s="844">
        <v>3310.5695</v>
      </c>
      <c r="E24" s="841">
        <v>1403</v>
      </c>
      <c r="F24" s="844">
        <v>3310.02</v>
      </c>
      <c r="G24" s="844">
        <v>3310</v>
      </c>
      <c r="H24" s="844"/>
      <c r="I24" s="822" t="s">
        <v>207</v>
      </c>
      <c r="J24" s="836"/>
      <c r="L24" s="845">
        <f t="shared" si="4"/>
        <v>0</v>
      </c>
      <c r="N24" s="837">
        <f t="shared" si="16"/>
        <v>0</v>
      </c>
      <c r="O24" s="416"/>
      <c r="P24" s="416"/>
      <c r="Q24" s="546">
        <f t="shared" si="5"/>
        <v>0</v>
      </c>
      <c r="S24" s="546">
        <f t="shared" si="6"/>
        <v>0</v>
      </c>
      <c r="T24" s="837"/>
      <c r="U24" s="416"/>
      <c r="V24" s="416"/>
      <c r="W24" s="546">
        <f t="shared" si="7"/>
        <v>0</v>
      </c>
      <c r="Y24" s="546">
        <f t="shared" si="8"/>
        <v>0</v>
      </c>
      <c r="Z24" s="837"/>
      <c r="AA24" s="838"/>
      <c r="AB24" s="838"/>
      <c r="AC24" s="838"/>
      <c r="AD24" s="555"/>
      <c r="AE24" s="839"/>
      <c r="AF24" s="556">
        <f t="shared" si="1"/>
        <v>0</v>
      </c>
      <c r="AG24" s="555">
        <f t="shared" si="2"/>
        <v>0</v>
      </c>
      <c r="AH24" s="556">
        <f t="shared" si="9"/>
        <v>0</v>
      </c>
      <c r="AI24" s="561"/>
      <c r="AJ24" s="556"/>
      <c r="AK24" s="556"/>
      <c r="AL24" s="556">
        <f t="shared" si="10"/>
        <v>0</v>
      </c>
      <c r="AM24" s="840">
        <f t="shared" si="3"/>
        <v>0</v>
      </c>
      <c r="AN24" s="830"/>
      <c r="AO24" s="416"/>
      <c r="AP24" s="841"/>
      <c r="AX24" s="635" t="s">
        <v>673</v>
      </c>
      <c r="AY24" s="636">
        <v>60269</v>
      </c>
    </row>
    <row r="25" spans="1:51" ht="23.25">
      <c r="A25" s="822">
        <v>14</v>
      </c>
      <c r="B25" s="822" t="s">
        <v>314</v>
      </c>
      <c r="C25" s="843" t="s">
        <v>515</v>
      </c>
      <c r="D25" s="844">
        <v>2543.51806</v>
      </c>
      <c r="E25" s="841">
        <v>1404</v>
      </c>
      <c r="F25" s="844">
        <v>2544</v>
      </c>
      <c r="G25" s="844">
        <v>2554</v>
      </c>
      <c r="H25" s="844"/>
      <c r="I25" s="822" t="s">
        <v>207</v>
      </c>
      <c r="J25" s="836"/>
      <c r="L25" s="845">
        <f t="shared" si="4"/>
        <v>0</v>
      </c>
      <c r="N25" s="837">
        <f t="shared" si="16"/>
        <v>0</v>
      </c>
      <c r="O25" s="416"/>
      <c r="P25" s="416"/>
      <c r="Q25" s="546">
        <f t="shared" si="5"/>
        <v>0</v>
      </c>
      <c r="S25" s="546">
        <f t="shared" si="6"/>
        <v>0</v>
      </c>
      <c r="T25" s="837"/>
      <c r="U25" s="416"/>
      <c r="V25" s="416"/>
      <c r="W25" s="546">
        <f t="shared" si="7"/>
        <v>0</v>
      </c>
      <c r="Y25" s="546">
        <f t="shared" si="8"/>
        <v>0</v>
      </c>
      <c r="Z25" s="837"/>
      <c r="AA25" s="838"/>
      <c r="AB25" s="838"/>
      <c r="AC25" s="838"/>
      <c r="AD25" s="555"/>
      <c r="AE25" s="839"/>
      <c r="AF25" s="556">
        <f t="shared" si="1"/>
        <v>0</v>
      </c>
      <c r="AG25" s="555">
        <f t="shared" si="2"/>
        <v>0</v>
      </c>
      <c r="AH25" s="556">
        <f t="shared" si="9"/>
        <v>0</v>
      </c>
      <c r="AI25" s="561"/>
      <c r="AJ25" s="556"/>
      <c r="AK25" s="556"/>
      <c r="AL25" s="556">
        <f t="shared" si="10"/>
        <v>0</v>
      </c>
      <c r="AM25" s="840">
        <f t="shared" si="3"/>
        <v>0</v>
      </c>
      <c r="AN25" s="830"/>
      <c r="AO25" s="416"/>
      <c r="AP25" s="841"/>
      <c r="AX25" s="635" t="s">
        <v>674</v>
      </c>
      <c r="AY25" s="636">
        <f>+AS22</f>
        <v>27068.31509521742</v>
      </c>
    </row>
    <row r="26" spans="1:52" ht="23.25">
      <c r="A26" s="822">
        <v>14</v>
      </c>
      <c r="B26" s="822" t="s">
        <v>267</v>
      </c>
      <c r="C26" s="843" t="s">
        <v>516</v>
      </c>
      <c r="D26" s="844">
        <v>168.07</v>
      </c>
      <c r="E26" s="841">
        <v>1405</v>
      </c>
      <c r="F26" s="844">
        <v>168.07</v>
      </c>
      <c r="G26" s="844">
        <v>168</v>
      </c>
      <c r="H26" s="844">
        <f>+F26-D26-O26-U26</f>
        <v>0</v>
      </c>
      <c r="I26" s="822" t="s">
        <v>207</v>
      </c>
      <c r="J26" s="836">
        <v>0</v>
      </c>
      <c r="L26" s="845">
        <f t="shared" si="4"/>
        <v>0</v>
      </c>
      <c r="N26" s="837">
        <f t="shared" si="16"/>
        <v>0</v>
      </c>
      <c r="O26" s="416"/>
      <c r="P26" s="416"/>
      <c r="Q26" s="546">
        <f t="shared" si="5"/>
        <v>0</v>
      </c>
      <c r="S26" s="546">
        <f t="shared" si="6"/>
        <v>0</v>
      </c>
      <c r="T26" s="837"/>
      <c r="U26" s="416"/>
      <c r="V26" s="416"/>
      <c r="W26" s="546">
        <f t="shared" si="7"/>
        <v>0</v>
      </c>
      <c r="Y26" s="546">
        <f t="shared" si="8"/>
        <v>0</v>
      </c>
      <c r="Z26" s="837"/>
      <c r="AA26" s="838"/>
      <c r="AB26" s="838"/>
      <c r="AC26" s="838"/>
      <c r="AD26" s="555"/>
      <c r="AE26" s="839"/>
      <c r="AF26" s="556">
        <f t="shared" si="1"/>
        <v>0</v>
      </c>
      <c r="AG26" s="555">
        <f t="shared" si="2"/>
        <v>0</v>
      </c>
      <c r="AH26" s="556">
        <f t="shared" si="9"/>
        <v>0</v>
      </c>
      <c r="AI26" s="561"/>
      <c r="AJ26" s="556"/>
      <c r="AK26" s="556"/>
      <c r="AL26" s="556">
        <f t="shared" si="10"/>
        <v>0</v>
      </c>
      <c r="AM26" s="840">
        <f t="shared" si="3"/>
        <v>0</v>
      </c>
      <c r="AN26" s="830"/>
      <c r="AO26" s="416"/>
      <c r="AP26" s="841"/>
      <c r="AX26" s="635" t="s">
        <v>679</v>
      </c>
      <c r="AY26" s="636">
        <f>+AX22</f>
        <v>4989.384736677215</v>
      </c>
      <c r="AZ26" s="856">
        <f>+AY26/AY25</f>
        <v>0.18432564860894382</v>
      </c>
    </row>
    <row r="27" spans="1:51" ht="24" thickBot="1">
      <c r="A27" s="822">
        <v>14</v>
      </c>
      <c r="B27" s="822" t="s">
        <v>269</v>
      </c>
      <c r="C27" s="843" t="s">
        <v>517</v>
      </c>
      <c r="D27" s="844">
        <v>2263.5684100000003</v>
      </c>
      <c r="E27" s="841">
        <v>1406</v>
      </c>
      <c r="F27" s="844">
        <v>2262.96</v>
      </c>
      <c r="G27" s="844">
        <v>2263</v>
      </c>
      <c r="H27" s="844"/>
      <c r="I27" s="822" t="s">
        <v>207</v>
      </c>
      <c r="J27" s="836"/>
      <c r="L27" s="845">
        <f t="shared" si="4"/>
        <v>0</v>
      </c>
      <c r="N27" s="837">
        <f t="shared" si="16"/>
        <v>0</v>
      </c>
      <c r="O27" s="416"/>
      <c r="P27" s="416"/>
      <c r="Q27" s="546">
        <f t="shared" si="5"/>
        <v>0</v>
      </c>
      <c r="S27" s="546">
        <f t="shared" si="6"/>
        <v>0</v>
      </c>
      <c r="T27" s="837"/>
      <c r="U27" s="416"/>
      <c r="V27" s="416"/>
      <c r="W27" s="546">
        <f t="shared" si="7"/>
        <v>0</v>
      </c>
      <c r="Y27" s="546">
        <f t="shared" si="8"/>
        <v>0</v>
      </c>
      <c r="Z27" s="837"/>
      <c r="AA27" s="838"/>
      <c r="AB27" s="838"/>
      <c r="AC27" s="838"/>
      <c r="AD27" s="555"/>
      <c r="AE27" s="839"/>
      <c r="AF27" s="556">
        <f t="shared" si="1"/>
        <v>0</v>
      </c>
      <c r="AG27" s="555">
        <f t="shared" si="2"/>
        <v>0</v>
      </c>
      <c r="AH27" s="556">
        <f t="shared" si="9"/>
        <v>0</v>
      </c>
      <c r="AI27" s="561"/>
      <c r="AJ27" s="556"/>
      <c r="AK27" s="556"/>
      <c r="AL27" s="556">
        <f t="shared" si="10"/>
        <v>0</v>
      </c>
      <c r="AM27" s="840">
        <f t="shared" si="3"/>
        <v>0</v>
      </c>
      <c r="AN27" s="830"/>
      <c r="AO27" s="416"/>
      <c r="AP27" s="841"/>
      <c r="AX27" s="635" t="s">
        <v>675</v>
      </c>
      <c r="AY27" s="638">
        <v>75</v>
      </c>
    </row>
    <row r="28" spans="1:51" ht="24" thickTop="1">
      <c r="A28" s="822">
        <v>14</v>
      </c>
      <c r="B28" s="822" t="s">
        <v>268</v>
      </c>
      <c r="C28" s="843" t="s">
        <v>518</v>
      </c>
      <c r="D28" s="844">
        <v>2571.37312</v>
      </c>
      <c r="E28" s="841">
        <v>1407</v>
      </c>
      <c r="F28" s="844">
        <v>2570.78</v>
      </c>
      <c r="G28" s="844">
        <v>2570</v>
      </c>
      <c r="H28" s="844"/>
      <c r="I28" s="822" t="s">
        <v>207</v>
      </c>
      <c r="J28" s="836"/>
      <c r="L28" s="845">
        <f t="shared" si="4"/>
        <v>0</v>
      </c>
      <c r="N28" s="837">
        <f t="shared" si="16"/>
        <v>0</v>
      </c>
      <c r="O28" s="416"/>
      <c r="P28" s="416"/>
      <c r="Q28" s="546">
        <f t="shared" si="5"/>
        <v>0</v>
      </c>
      <c r="S28" s="546">
        <f t="shared" si="6"/>
        <v>0</v>
      </c>
      <c r="T28" s="837"/>
      <c r="U28" s="416"/>
      <c r="V28" s="416"/>
      <c r="W28" s="546">
        <f t="shared" si="7"/>
        <v>0</v>
      </c>
      <c r="Y28" s="546">
        <f t="shared" si="8"/>
        <v>0</v>
      </c>
      <c r="Z28" s="837"/>
      <c r="AA28" s="838"/>
      <c r="AB28" s="838"/>
      <c r="AC28" s="838"/>
      <c r="AD28" s="555"/>
      <c r="AE28" s="839"/>
      <c r="AF28" s="556">
        <f t="shared" si="1"/>
        <v>0</v>
      </c>
      <c r="AG28" s="555">
        <f t="shared" si="2"/>
        <v>0</v>
      </c>
      <c r="AH28" s="556">
        <f t="shared" si="9"/>
        <v>0</v>
      </c>
      <c r="AI28" s="561"/>
      <c r="AJ28" s="556"/>
      <c r="AK28" s="556"/>
      <c r="AL28" s="556">
        <f t="shared" si="10"/>
        <v>0</v>
      </c>
      <c r="AM28" s="840">
        <f t="shared" si="3"/>
        <v>0</v>
      </c>
      <c r="AN28" s="830"/>
      <c r="AO28" s="416"/>
      <c r="AP28" s="841"/>
      <c r="AX28" s="635" t="s">
        <v>106</v>
      </c>
      <c r="AY28" s="636">
        <f>SUM(AY24:AY27)</f>
        <v>92401.69983189463</v>
      </c>
    </row>
    <row r="29" spans="1:42" ht="20.25">
      <c r="A29" s="822">
        <v>14</v>
      </c>
      <c r="B29" s="822" t="s">
        <v>315</v>
      </c>
      <c r="C29" s="843" t="s">
        <v>519</v>
      </c>
      <c r="D29" s="844">
        <v>1724.920029864854</v>
      </c>
      <c r="E29" s="841">
        <v>1408</v>
      </c>
      <c r="F29" s="844">
        <v>1952.63</v>
      </c>
      <c r="G29" s="844">
        <v>1957</v>
      </c>
      <c r="H29" s="844">
        <f>+F29-D29-O29-U29</f>
        <v>223.70997013514602</v>
      </c>
      <c r="I29" s="822" t="s">
        <v>207</v>
      </c>
      <c r="J29" s="847">
        <v>223.50997013514603</v>
      </c>
      <c r="K29" s="845"/>
      <c r="L29" s="845">
        <f t="shared" si="4"/>
        <v>223.50997013514603</v>
      </c>
      <c r="M29" s="615">
        <v>0.15</v>
      </c>
      <c r="N29" s="848">
        <f t="shared" si="16"/>
        <v>33.5264955202719</v>
      </c>
      <c r="O29" s="416">
        <v>4</v>
      </c>
      <c r="P29" s="416"/>
      <c r="Q29" s="546">
        <f t="shared" si="5"/>
        <v>4</v>
      </c>
      <c r="R29" s="615">
        <v>0.15</v>
      </c>
      <c r="S29" s="845">
        <f t="shared" si="6"/>
        <v>0.6</v>
      </c>
      <c r="T29" s="848"/>
      <c r="U29" s="416"/>
      <c r="V29" s="416"/>
      <c r="W29" s="546">
        <f t="shared" si="7"/>
        <v>0</v>
      </c>
      <c r="X29" s="615">
        <v>0</v>
      </c>
      <c r="Y29" s="845">
        <f t="shared" si="8"/>
        <v>0</v>
      </c>
      <c r="Z29" s="848"/>
      <c r="AA29" s="838">
        <v>227.50997013514603</v>
      </c>
      <c r="AB29" s="838">
        <v>0</v>
      </c>
      <c r="AC29" s="838"/>
      <c r="AD29" s="555">
        <f t="shared" si="14"/>
        <v>227.50997013514603</v>
      </c>
      <c r="AE29" s="839">
        <v>0.25</v>
      </c>
      <c r="AF29" s="556">
        <f t="shared" si="1"/>
        <v>56.87749253378651</v>
      </c>
      <c r="AG29" s="555">
        <f t="shared" si="2"/>
        <v>16.6250931448585</v>
      </c>
      <c r="AH29" s="556">
        <f t="shared" si="9"/>
        <v>16.6250931448585</v>
      </c>
      <c r="AI29" s="561">
        <f t="shared" si="15"/>
        <v>0.07307413004793953</v>
      </c>
      <c r="AJ29" s="556"/>
      <c r="AK29" s="556"/>
      <c r="AL29" s="556">
        <f t="shared" si="10"/>
        <v>34.1264955202719</v>
      </c>
      <c r="AM29" s="840">
        <f t="shared" si="3"/>
        <v>0</v>
      </c>
      <c r="AN29" s="830"/>
      <c r="AO29" s="416"/>
      <c r="AP29" s="841"/>
    </row>
    <row r="30" spans="1:42" ht="20.25">
      <c r="A30" s="822">
        <v>14</v>
      </c>
      <c r="B30" s="822" t="s">
        <v>235</v>
      </c>
      <c r="C30" s="843" t="s">
        <v>520</v>
      </c>
      <c r="D30" s="844">
        <v>825.94131</v>
      </c>
      <c r="E30" s="841">
        <v>1409</v>
      </c>
      <c r="F30" s="844">
        <v>825.96</v>
      </c>
      <c r="G30" s="844">
        <v>833</v>
      </c>
      <c r="H30" s="844"/>
      <c r="I30" s="822" t="s">
        <v>207</v>
      </c>
      <c r="J30" s="836"/>
      <c r="L30" s="845">
        <f t="shared" si="4"/>
        <v>0</v>
      </c>
      <c r="N30" s="837">
        <f t="shared" si="16"/>
        <v>0</v>
      </c>
      <c r="O30" s="416"/>
      <c r="P30" s="416"/>
      <c r="Q30" s="546">
        <f t="shared" si="5"/>
        <v>0</v>
      </c>
      <c r="S30" s="546">
        <f t="shared" si="6"/>
        <v>0</v>
      </c>
      <c r="T30" s="837"/>
      <c r="U30" s="416"/>
      <c r="V30" s="416"/>
      <c r="W30" s="546">
        <f t="shared" si="7"/>
        <v>0</v>
      </c>
      <c r="Y30" s="546">
        <f t="shared" si="8"/>
        <v>0</v>
      </c>
      <c r="Z30" s="837"/>
      <c r="AA30" s="838"/>
      <c r="AB30" s="838"/>
      <c r="AC30" s="838"/>
      <c r="AD30" s="555"/>
      <c r="AE30" s="839"/>
      <c r="AF30" s="556">
        <f t="shared" si="1"/>
        <v>0</v>
      </c>
      <c r="AG30" s="555">
        <f t="shared" si="2"/>
        <v>0</v>
      </c>
      <c r="AH30" s="556">
        <f t="shared" si="9"/>
        <v>0</v>
      </c>
      <c r="AI30" s="561"/>
      <c r="AJ30" s="556"/>
      <c r="AK30" s="556"/>
      <c r="AL30" s="556">
        <f t="shared" si="10"/>
        <v>0</v>
      </c>
      <c r="AM30" s="840">
        <f t="shared" si="3"/>
        <v>0</v>
      </c>
      <c r="AN30" s="830"/>
      <c r="AO30" s="416"/>
      <c r="AP30" s="841"/>
    </row>
    <row r="31" spans="1:42" ht="20.25">
      <c r="A31" s="822">
        <v>14</v>
      </c>
      <c r="B31" s="822" t="s">
        <v>270</v>
      </c>
      <c r="C31" s="843" t="s">
        <v>521</v>
      </c>
      <c r="D31" s="844">
        <v>1049.97132</v>
      </c>
      <c r="E31" s="841">
        <v>1410</v>
      </c>
      <c r="F31" s="844">
        <v>1049.9</v>
      </c>
      <c r="G31" s="844">
        <v>1050</v>
      </c>
      <c r="H31" s="844"/>
      <c r="I31" s="822" t="s">
        <v>207</v>
      </c>
      <c r="J31" s="836"/>
      <c r="L31" s="845">
        <f t="shared" si="4"/>
        <v>0</v>
      </c>
      <c r="N31" s="837">
        <f t="shared" si="16"/>
        <v>0</v>
      </c>
      <c r="O31" s="416"/>
      <c r="P31" s="416"/>
      <c r="Q31" s="546">
        <f t="shared" si="5"/>
        <v>0</v>
      </c>
      <c r="S31" s="546">
        <f t="shared" si="6"/>
        <v>0</v>
      </c>
      <c r="T31" s="837"/>
      <c r="U31" s="416"/>
      <c r="V31" s="416"/>
      <c r="W31" s="546">
        <f t="shared" si="7"/>
        <v>0</v>
      </c>
      <c r="Y31" s="546">
        <f t="shared" si="8"/>
        <v>0</v>
      </c>
      <c r="Z31" s="837"/>
      <c r="AA31" s="838"/>
      <c r="AB31" s="838"/>
      <c r="AC31" s="838"/>
      <c r="AD31" s="555"/>
      <c r="AE31" s="839"/>
      <c r="AF31" s="556">
        <f t="shared" si="1"/>
        <v>0</v>
      </c>
      <c r="AG31" s="555">
        <f t="shared" si="2"/>
        <v>0</v>
      </c>
      <c r="AH31" s="556">
        <f t="shared" si="9"/>
        <v>0</v>
      </c>
      <c r="AI31" s="561"/>
      <c r="AJ31" s="556"/>
      <c r="AK31" s="556"/>
      <c r="AL31" s="556">
        <f t="shared" si="10"/>
        <v>0</v>
      </c>
      <c r="AM31" s="840">
        <f t="shared" si="3"/>
        <v>0</v>
      </c>
      <c r="AN31" s="830"/>
      <c r="AO31" s="416"/>
      <c r="AP31" s="841"/>
    </row>
    <row r="32" spans="1:42" ht="20.25">
      <c r="A32" s="822">
        <v>14</v>
      </c>
      <c r="B32" s="822" t="s">
        <v>236</v>
      </c>
      <c r="C32" s="843" t="s">
        <v>522</v>
      </c>
      <c r="D32" s="844">
        <v>8669.42363035</v>
      </c>
      <c r="E32" s="841">
        <v>1411</v>
      </c>
      <c r="F32" s="844">
        <v>9844.47</v>
      </c>
      <c r="G32" s="844">
        <v>8720</v>
      </c>
      <c r="H32" s="844">
        <f>+F32-D32-O32-U32</f>
        <v>1175.0463696499992</v>
      </c>
      <c r="I32" s="822" t="s">
        <v>207</v>
      </c>
      <c r="J32" s="847">
        <v>1175.0463696499992</v>
      </c>
      <c r="K32" s="845"/>
      <c r="L32" s="845">
        <f t="shared" si="4"/>
        <v>1175.0463696499992</v>
      </c>
      <c r="M32" s="615">
        <v>0.05</v>
      </c>
      <c r="N32" s="848">
        <f t="shared" si="16"/>
        <v>58.75231848249996</v>
      </c>
      <c r="O32" s="416"/>
      <c r="P32" s="416"/>
      <c r="Q32" s="546">
        <f t="shared" si="5"/>
        <v>0</v>
      </c>
      <c r="R32" s="615"/>
      <c r="S32" s="845">
        <f t="shared" si="6"/>
        <v>0</v>
      </c>
      <c r="T32" s="848"/>
      <c r="U32" s="416"/>
      <c r="V32" s="416"/>
      <c r="W32" s="546">
        <f t="shared" si="7"/>
        <v>0</v>
      </c>
      <c r="X32" s="615">
        <v>0</v>
      </c>
      <c r="Y32" s="845">
        <f t="shared" si="8"/>
        <v>0</v>
      </c>
      <c r="Z32" s="848"/>
      <c r="AA32" s="838">
        <v>1175.0463696499992</v>
      </c>
      <c r="AB32" s="838">
        <v>0</v>
      </c>
      <c r="AC32" s="838"/>
      <c r="AD32" s="555">
        <f t="shared" si="14"/>
        <v>1175.0463696499992</v>
      </c>
      <c r="AE32" s="839">
        <v>0.1</v>
      </c>
      <c r="AF32" s="556">
        <f t="shared" si="1"/>
        <v>117.50463696499992</v>
      </c>
      <c r="AG32" s="555">
        <f t="shared" si="2"/>
        <v>34.3461964912653</v>
      </c>
      <c r="AH32" s="556">
        <f t="shared" si="9"/>
        <v>34.3461964912653</v>
      </c>
      <c r="AI32" s="561">
        <f t="shared" si="15"/>
        <v>0.02922965201917581</v>
      </c>
      <c r="AJ32" s="556"/>
      <c r="AK32" s="556"/>
      <c r="AL32" s="556">
        <f t="shared" si="10"/>
        <v>58.75231848249996</v>
      </c>
      <c r="AM32" s="840">
        <f t="shared" si="3"/>
        <v>0</v>
      </c>
      <c r="AN32" s="830"/>
      <c r="AO32" s="416"/>
      <c r="AP32" s="841"/>
    </row>
    <row r="33" spans="1:42" ht="20.25">
      <c r="A33" s="822">
        <v>14</v>
      </c>
      <c r="B33" s="822" t="s">
        <v>237</v>
      </c>
      <c r="C33" s="843" t="s">
        <v>523</v>
      </c>
      <c r="D33" s="844">
        <v>540.99688</v>
      </c>
      <c r="E33" s="841">
        <v>1412</v>
      </c>
      <c r="F33" s="844">
        <v>541.02</v>
      </c>
      <c r="G33" s="844">
        <v>541</v>
      </c>
      <c r="H33" s="844"/>
      <c r="I33" s="822" t="s">
        <v>207</v>
      </c>
      <c r="J33" s="836"/>
      <c r="L33" s="845">
        <f t="shared" si="4"/>
        <v>0</v>
      </c>
      <c r="N33" s="837">
        <f t="shared" si="16"/>
        <v>0</v>
      </c>
      <c r="O33" s="416"/>
      <c r="P33" s="416"/>
      <c r="Q33" s="546">
        <f t="shared" si="5"/>
        <v>0</v>
      </c>
      <c r="S33" s="546">
        <f t="shared" si="6"/>
        <v>0</v>
      </c>
      <c r="T33" s="837"/>
      <c r="U33" s="416"/>
      <c r="V33" s="416"/>
      <c r="W33" s="546">
        <f t="shared" si="7"/>
        <v>0</v>
      </c>
      <c r="Y33" s="546">
        <f t="shared" si="8"/>
        <v>0</v>
      </c>
      <c r="Z33" s="837"/>
      <c r="AA33" s="838"/>
      <c r="AB33" s="838"/>
      <c r="AC33" s="838"/>
      <c r="AD33" s="555"/>
      <c r="AE33" s="839"/>
      <c r="AF33" s="556">
        <f t="shared" si="1"/>
        <v>0</v>
      </c>
      <c r="AG33" s="555">
        <f t="shared" si="2"/>
        <v>0</v>
      </c>
      <c r="AH33" s="556">
        <f t="shared" si="9"/>
        <v>0</v>
      </c>
      <c r="AI33" s="561"/>
      <c r="AJ33" s="556"/>
      <c r="AK33" s="556"/>
      <c r="AL33" s="556">
        <f t="shared" si="10"/>
        <v>0</v>
      </c>
      <c r="AM33" s="840">
        <f t="shared" si="3"/>
        <v>0</v>
      </c>
      <c r="AN33" s="830"/>
      <c r="AO33" s="416"/>
      <c r="AP33" s="841"/>
    </row>
    <row r="34" spans="1:42" ht="20.25">
      <c r="A34" s="822">
        <v>14</v>
      </c>
      <c r="B34" s="822" t="s">
        <v>266</v>
      </c>
      <c r="C34" s="843" t="s">
        <v>524</v>
      </c>
      <c r="D34" s="844">
        <v>27.8194</v>
      </c>
      <c r="E34" s="841">
        <v>1413</v>
      </c>
      <c r="F34" s="844">
        <v>27.84</v>
      </c>
      <c r="G34" s="844">
        <v>28</v>
      </c>
      <c r="H34" s="844"/>
      <c r="I34" s="822" t="s">
        <v>207</v>
      </c>
      <c r="J34" s="836"/>
      <c r="L34" s="845">
        <f t="shared" si="4"/>
        <v>0</v>
      </c>
      <c r="N34" s="837">
        <f t="shared" si="16"/>
        <v>0</v>
      </c>
      <c r="O34" s="416"/>
      <c r="P34" s="416"/>
      <c r="Q34" s="546">
        <f t="shared" si="5"/>
        <v>0</v>
      </c>
      <c r="S34" s="546">
        <f t="shared" si="6"/>
        <v>0</v>
      </c>
      <c r="T34" s="837"/>
      <c r="U34" s="416"/>
      <c r="V34" s="416"/>
      <c r="W34" s="546">
        <f t="shared" si="7"/>
        <v>0</v>
      </c>
      <c r="Y34" s="546">
        <f t="shared" si="8"/>
        <v>0</v>
      </c>
      <c r="Z34" s="837"/>
      <c r="AA34" s="838"/>
      <c r="AB34" s="838"/>
      <c r="AC34" s="838"/>
      <c r="AD34" s="555"/>
      <c r="AE34" s="839"/>
      <c r="AF34" s="556">
        <f t="shared" si="1"/>
        <v>0</v>
      </c>
      <c r="AG34" s="555">
        <f t="shared" si="2"/>
        <v>0</v>
      </c>
      <c r="AH34" s="556">
        <f t="shared" si="9"/>
        <v>0</v>
      </c>
      <c r="AI34" s="561"/>
      <c r="AJ34" s="556"/>
      <c r="AK34" s="556"/>
      <c r="AL34" s="556">
        <f t="shared" si="10"/>
        <v>0</v>
      </c>
      <c r="AM34" s="840">
        <f t="shared" si="3"/>
        <v>0</v>
      </c>
      <c r="AN34" s="830"/>
      <c r="AO34" s="416"/>
      <c r="AP34" s="841"/>
    </row>
    <row r="35" spans="1:42" ht="20.25">
      <c r="A35" s="822">
        <v>14</v>
      </c>
      <c r="B35" s="822" t="s">
        <v>271</v>
      </c>
      <c r="C35" s="843" t="s">
        <v>525</v>
      </c>
      <c r="D35" s="844">
        <v>674.83326</v>
      </c>
      <c r="E35" s="841">
        <v>1414</v>
      </c>
      <c r="F35" s="844">
        <v>674.68</v>
      </c>
      <c r="G35" s="844">
        <v>639</v>
      </c>
      <c r="H35" s="844"/>
      <c r="I35" s="822" t="s">
        <v>207</v>
      </c>
      <c r="J35" s="836"/>
      <c r="L35" s="845">
        <f t="shared" si="4"/>
        <v>0</v>
      </c>
      <c r="N35" s="837">
        <f t="shared" si="16"/>
        <v>0</v>
      </c>
      <c r="O35" s="416"/>
      <c r="P35" s="416"/>
      <c r="Q35" s="546">
        <f t="shared" si="5"/>
        <v>0</v>
      </c>
      <c r="S35" s="546">
        <f t="shared" si="6"/>
        <v>0</v>
      </c>
      <c r="T35" s="837"/>
      <c r="U35" s="416"/>
      <c r="V35" s="416"/>
      <c r="W35" s="546">
        <f t="shared" si="7"/>
        <v>0</v>
      </c>
      <c r="Y35" s="546">
        <f t="shared" si="8"/>
        <v>0</v>
      </c>
      <c r="Z35" s="837"/>
      <c r="AA35" s="838"/>
      <c r="AB35" s="838"/>
      <c r="AC35" s="838"/>
      <c r="AD35" s="555"/>
      <c r="AE35" s="839"/>
      <c r="AF35" s="556">
        <f t="shared" si="1"/>
        <v>0</v>
      </c>
      <c r="AG35" s="555">
        <f t="shared" si="2"/>
        <v>0</v>
      </c>
      <c r="AH35" s="556">
        <f t="shared" si="9"/>
        <v>0</v>
      </c>
      <c r="AI35" s="561"/>
      <c r="AJ35" s="556"/>
      <c r="AK35" s="556"/>
      <c r="AL35" s="556">
        <f t="shared" si="10"/>
        <v>0</v>
      </c>
      <c r="AM35" s="840">
        <f t="shared" si="3"/>
        <v>0</v>
      </c>
      <c r="AN35" s="830"/>
      <c r="AO35" s="416"/>
      <c r="AP35" s="841"/>
    </row>
    <row r="36" spans="1:42" ht="20.25">
      <c r="A36" s="822">
        <v>14</v>
      </c>
      <c r="B36" s="822" t="s">
        <v>238</v>
      </c>
      <c r="C36" s="843" t="s">
        <v>526</v>
      </c>
      <c r="D36" s="844">
        <v>23.85</v>
      </c>
      <c r="E36" s="841">
        <v>1415</v>
      </c>
      <c r="F36" s="844">
        <v>23.83</v>
      </c>
      <c r="G36" s="844">
        <v>24</v>
      </c>
      <c r="H36" s="844"/>
      <c r="I36" s="822" t="s">
        <v>207</v>
      </c>
      <c r="J36" s="836"/>
      <c r="L36" s="845">
        <f t="shared" si="4"/>
        <v>0</v>
      </c>
      <c r="N36" s="837">
        <f t="shared" si="16"/>
        <v>0</v>
      </c>
      <c r="O36" s="416"/>
      <c r="P36" s="416"/>
      <c r="Q36" s="546">
        <f t="shared" si="5"/>
        <v>0</v>
      </c>
      <c r="S36" s="546">
        <f t="shared" si="6"/>
        <v>0</v>
      </c>
      <c r="T36" s="837"/>
      <c r="U36" s="416"/>
      <c r="V36" s="416"/>
      <c r="W36" s="546">
        <f t="shared" si="7"/>
        <v>0</v>
      </c>
      <c r="Y36" s="546">
        <f t="shared" si="8"/>
        <v>0</v>
      </c>
      <c r="Z36" s="837"/>
      <c r="AA36" s="838"/>
      <c r="AB36" s="838"/>
      <c r="AC36" s="838"/>
      <c r="AD36" s="555"/>
      <c r="AE36" s="839"/>
      <c r="AF36" s="556">
        <f t="shared" si="1"/>
        <v>0</v>
      </c>
      <c r="AG36" s="555">
        <f t="shared" si="2"/>
        <v>0</v>
      </c>
      <c r="AH36" s="556">
        <f t="shared" si="9"/>
        <v>0</v>
      </c>
      <c r="AI36" s="561"/>
      <c r="AJ36" s="556"/>
      <c r="AK36" s="556"/>
      <c r="AL36" s="556">
        <f t="shared" si="10"/>
        <v>0</v>
      </c>
      <c r="AM36" s="840">
        <f t="shared" si="3"/>
        <v>0</v>
      </c>
      <c r="AN36" s="830"/>
      <c r="AO36" s="416"/>
      <c r="AP36" s="841"/>
    </row>
    <row r="37" spans="1:42" ht="20.25">
      <c r="A37" s="822">
        <v>14</v>
      </c>
      <c r="B37" s="822" t="s">
        <v>239</v>
      </c>
      <c r="C37" s="843" t="s">
        <v>527</v>
      </c>
      <c r="D37" s="844">
        <v>579.50276</v>
      </c>
      <c r="E37" s="841">
        <v>1416</v>
      </c>
      <c r="F37" s="844">
        <v>685.89</v>
      </c>
      <c r="G37" s="844">
        <v>642</v>
      </c>
      <c r="H37" s="844">
        <f aca="true" t="shared" si="17" ref="H37:H47">+F37-D37-O37-U37</f>
        <v>106.38724000000002</v>
      </c>
      <c r="I37" s="822" t="s">
        <v>207</v>
      </c>
      <c r="J37" s="847">
        <v>106.38724000000002</v>
      </c>
      <c r="K37" s="857">
        <v>121</v>
      </c>
      <c r="L37" s="845">
        <f t="shared" si="4"/>
        <v>227.38724000000002</v>
      </c>
      <c r="M37" s="615">
        <v>0.25</v>
      </c>
      <c r="N37" s="848">
        <f t="shared" si="16"/>
        <v>56.846810000000005</v>
      </c>
      <c r="O37" s="416"/>
      <c r="P37" s="416"/>
      <c r="Q37" s="546">
        <f t="shared" si="5"/>
        <v>0</v>
      </c>
      <c r="R37" s="615"/>
      <c r="S37" s="845">
        <f t="shared" si="6"/>
        <v>0</v>
      </c>
      <c r="T37" s="848"/>
      <c r="U37" s="416"/>
      <c r="V37" s="416"/>
      <c r="W37" s="546">
        <f t="shared" si="7"/>
        <v>0</v>
      </c>
      <c r="X37" s="615">
        <v>0</v>
      </c>
      <c r="Y37" s="845">
        <f t="shared" si="8"/>
        <v>0</v>
      </c>
      <c r="Z37" s="848"/>
      <c r="AA37" s="838">
        <v>106.38724000000002</v>
      </c>
      <c r="AB37" s="838">
        <v>121</v>
      </c>
      <c r="AC37" s="838"/>
      <c r="AD37" s="555">
        <f t="shared" si="14"/>
        <v>227.38724000000002</v>
      </c>
      <c r="AE37" s="839">
        <v>0.25</v>
      </c>
      <c r="AF37" s="556">
        <f t="shared" si="1"/>
        <v>56.846810000000005</v>
      </c>
      <c r="AG37" s="555">
        <f aca="true" t="shared" si="18" ref="AG37:AG68">+AF37*(AG$102/AF$101)</f>
        <v>16.61612474700204</v>
      </c>
      <c r="AH37" s="556">
        <f t="shared" si="9"/>
        <v>16.61612474700204</v>
      </c>
      <c r="AI37" s="561">
        <f t="shared" si="15"/>
        <v>0.07307413004793953</v>
      </c>
      <c r="AJ37" s="556"/>
      <c r="AK37" s="556"/>
      <c r="AL37" s="556">
        <f t="shared" si="10"/>
        <v>56.846810000000005</v>
      </c>
      <c r="AM37" s="840">
        <f t="shared" si="3"/>
        <v>0</v>
      </c>
      <c r="AN37" s="830"/>
      <c r="AO37" s="416"/>
      <c r="AP37" s="841"/>
    </row>
    <row r="38" spans="1:42" ht="20.25">
      <c r="A38" s="822">
        <v>14</v>
      </c>
      <c r="B38" s="822" t="s">
        <v>272</v>
      </c>
      <c r="C38" s="843" t="s">
        <v>528</v>
      </c>
      <c r="D38" s="844">
        <v>55.21</v>
      </c>
      <c r="E38" s="841">
        <v>1419</v>
      </c>
      <c r="F38" s="844">
        <v>55.21</v>
      </c>
      <c r="G38" s="844">
        <v>46</v>
      </c>
      <c r="H38" s="844">
        <f t="shared" si="17"/>
        <v>0</v>
      </c>
      <c r="I38" s="822" t="s">
        <v>207</v>
      </c>
      <c r="J38" s="836">
        <v>0</v>
      </c>
      <c r="K38" s="858"/>
      <c r="L38" s="845">
        <f t="shared" si="4"/>
        <v>0</v>
      </c>
      <c r="N38" s="837">
        <f t="shared" si="16"/>
        <v>0</v>
      </c>
      <c r="O38" s="416"/>
      <c r="P38" s="416"/>
      <c r="Q38" s="546">
        <f t="shared" si="5"/>
        <v>0</v>
      </c>
      <c r="S38" s="546">
        <f t="shared" si="6"/>
        <v>0</v>
      </c>
      <c r="T38" s="837"/>
      <c r="U38" s="416"/>
      <c r="V38" s="416"/>
      <c r="W38" s="546">
        <f t="shared" si="7"/>
        <v>0</v>
      </c>
      <c r="Y38" s="546">
        <f t="shared" si="8"/>
        <v>0</v>
      </c>
      <c r="Z38" s="837"/>
      <c r="AA38" s="838"/>
      <c r="AB38" s="838"/>
      <c r="AC38" s="838"/>
      <c r="AD38" s="555"/>
      <c r="AE38" s="839"/>
      <c r="AF38" s="556">
        <f t="shared" si="1"/>
        <v>0</v>
      </c>
      <c r="AG38" s="555">
        <f t="shared" si="18"/>
        <v>0</v>
      </c>
      <c r="AH38" s="556">
        <f t="shared" si="9"/>
        <v>0</v>
      </c>
      <c r="AI38" s="561"/>
      <c r="AJ38" s="556"/>
      <c r="AK38" s="556"/>
      <c r="AL38" s="556">
        <f t="shared" si="10"/>
        <v>0</v>
      </c>
      <c r="AM38" s="840">
        <f t="shared" si="3"/>
        <v>0</v>
      </c>
      <c r="AN38" s="830"/>
      <c r="AO38" s="416"/>
      <c r="AP38" s="841"/>
    </row>
    <row r="39" spans="1:42" ht="20.25">
      <c r="A39" s="822">
        <v>14</v>
      </c>
      <c r="B39" s="822" t="s">
        <v>274</v>
      </c>
      <c r="C39" s="843" t="s">
        <v>529</v>
      </c>
      <c r="D39" s="844">
        <v>118.17561</v>
      </c>
      <c r="E39" s="841">
        <v>1421</v>
      </c>
      <c r="F39" s="844">
        <v>379.91</v>
      </c>
      <c r="G39" s="844">
        <v>120</v>
      </c>
      <c r="H39" s="844">
        <f t="shared" si="17"/>
        <v>261.73439</v>
      </c>
      <c r="I39" s="822" t="s">
        <v>207</v>
      </c>
      <c r="J39" s="847">
        <v>261.73439</v>
      </c>
      <c r="K39" s="857">
        <v>226</v>
      </c>
      <c r="L39" s="845">
        <f t="shared" si="4"/>
        <v>487.73439</v>
      </c>
      <c r="M39" s="615">
        <v>0.2</v>
      </c>
      <c r="N39" s="848">
        <f t="shared" si="16"/>
        <v>97.546878</v>
      </c>
      <c r="O39" s="416"/>
      <c r="P39" s="416"/>
      <c r="Q39" s="546">
        <f t="shared" si="5"/>
        <v>0</v>
      </c>
      <c r="R39" s="615"/>
      <c r="S39" s="845">
        <f t="shared" si="6"/>
        <v>0</v>
      </c>
      <c r="T39" s="848"/>
      <c r="U39" s="416"/>
      <c r="V39" s="416"/>
      <c r="W39" s="546">
        <f t="shared" si="7"/>
        <v>0</v>
      </c>
      <c r="X39" s="615">
        <v>0</v>
      </c>
      <c r="Y39" s="845">
        <f t="shared" si="8"/>
        <v>0</v>
      </c>
      <c r="Z39" s="848"/>
      <c r="AA39" s="838">
        <v>261.73439</v>
      </c>
      <c r="AB39" s="838">
        <v>226</v>
      </c>
      <c r="AC39" s="838"/>
      <c r="AD39" s="555">
        <f t="shared" si="14"/>
        <v>487.73439</v>
      </c>
      <c r="AE39" s="839">
        <v>0.5</v>
      </c>
      <c r="AF39" s="556">
        <f t="shared" si="1"/>
        <v>243.867195</v>
      </c>
      <c r="AG39" s="555">
        <f t="shared" si="18"/>
        <v>71.28153248742491</v>
      </c>
      <c r="AH39" s="556">
        <f t="shared" si="9"/>
        <v>71.28153248742491</v>
      </c>
      <c r="AI39" s="561">
        <f t="shared" si="15"/>
        <v>0.14614826009587906</v>
      </c>
      <c r="AJ39" s="556"/>
      <c r="AK39" s="556"/>
      <c r="AL39" s="556">
        <f t="shared" si="10"/>
        <v>97.546878</v>
      </c>
      <c r="AM39" s="840">
        <f t="shared" si="3"/>
        <v>0</v>
      </c>
      <c r="AN39" s="830"/>
      <c r="AO39" s="416"/>
      <c r="AP39" s="841"/>
    </row>
    <row r="40" spans="1:42" ht="20.25">
      <c r="A40" s="822">
        <v>14</v>
      </c>
      <c r="B40" s="822" t="s">
        <v>275</v>
      </c>
      <c r="C40" s="843" t="s">
        <v>530</v>
      </c>
      <c r="D40" s="844">
        <v>0</v>
      </c>
      <c r="E40" s="841">
        <v>1431</v>
      </c>
      <c r="F40" s="844">
        <v>698.9</v>
      </c>
      <c r="G40" s="844"/>
      <c r="H40" s="844">
        <f t="shared" si="17"/>
        <v>698.9</v>
      </c>
      <c r="I40" s="822" t="s">
        <v>207</v>
      </c>
      <c r="J40" s="847">
        <v>698.9</v>
      </c>
      <c r="K40" s="845"/>
      <c r="L40" s="845">
        <f t="shared" si="4"/>
        <v>698.9</v>
      </c>
      <c r="M40" s="615">
        <v>0.2</v>
      </c>
      <c r="N40" s="848">
        <f t="shared" si="16"/>
        <v>139.78</v>
      </c>
      <c r="O40" s="416"/>
      <c r="P40" s="416"/>
      <c r="Q40" s="546">
        <f t="shared" si="5"/>
        <v>0</v>
      </c>
      <c r="R40" s="615"/>
      <c r="S40" s="845">
        <f t="shared" si="6"/>
        <v>0</v>
      </c>
      <c r="T40" s="848"/>
      <c r="U40" s="416"/>
      <c r="V40" s="416"/>
      <c r="W40" s="546">
        <f t="shared" si="7"/>
        <v>0</v>
      </c>
      <c r="X40" s="615">
        <v>0</v>
      </c>
      <c r="Y40" s="845">
        <f t="shared" si="8"/>
        <v>0</v>
      </c>
      <c r="Z40" s="848"/>
      <c r="AA40" s="838">
        <v>698.9</v>
      </c>
      <c r="AB40" s="838">
        <v>0</v>
      </c>
      <c r="AC40" s="838"/>
      <c r="AD40" s="555">
        <f t="shared" si="14"/>
        <v>698.9</v>
      </c>
      <c r="AE40" s="839">
        <v>1</v>
      </c>
      <c r="AF40" s="556">
        <f t="shared" si="1"/>
        <v>698.9</v>
      </c>
      <c r="AG40" s="555">
        <f t="shared" si="18"/>
        <v>204.28603796201975</v>
      </c>
      <c r="AH40" s="556">
        <f t="shared" si="9"/>
        <v>204.28603796201975</v>
      </c>
      <c r="AI40" s="561">
        <f t="shared" si="15"/>
        <v>0.2922965201917581</v>
      </c>
      <c r="AJ40" s="556"/>
      <c r="AK40" s="556"/>
      <c r="AL40" s="556">
        <f t="shared" si="10"/>
        <v>139.78</v>
      </c>
      <c r="AM40" s="840">
        <f t="shared" si="3"/>
        <v>0</v>
      </c>
      <c r="AN40" s="830"/>
      <c r="AO40" s="416"/>
      <c r="AP40" s="841"/>
    </row>
    <row r="41" spans="1:42" ht="20.25">
      <c r="A41" s="822">
        <v>14</v>
      </c>
      <c r="B41" s="822" t="s">
        <v>273</v>
      </c>
      <c r="C41" s="843" t="s">
        <v>531</v>
      </c>
      <c r="D41" s="844">
        <v>2896.727392036118</v>
      </c>
      <c r="E41" s="841">
        <v>1451</v>
      </c>
      <c r="F41" s="844">
        <v>5994</v>
      </c>
      <c r="G41" s="844">
        <f>4090-45</f>
        <v>4045</v>
      </c>
      <c r="H41" s="844">
        <f t="shared" si="17"/>
        <v>2637.272607963882</v>
      </c>
      <c r="I41" s="822" t="s">
        <v>207</v>
      </c>
      <c r="J41" s="847">
        <v>2633.9626079638815</v>
      </c>
      <c r="K41" s="859">
        <f>337+282</f>
        <v>619</v>
      </c>
      <c r="L41" s="845">
        <f t="shared" si="4"/>
        <v>3252.9626079638815</v>
      </c>
      <c r="M41" s="860">
        <v>0.05</v>
      </c>
      <c r="N41" s="859">
        <f t="shared" si="16"/>
        <v>162.6481303981941</v>
      </c>
      <c r="O41" s="416">
        <v>460</v>
      </c>
      <c r="P41" s="861">
        <v>98</v>
      </c>
      <c r="Q41" s="546">
        <f t="shared" si="5"/>
        <v>558</v>
      </c>
      <c r="R41" s="860">
        <v>0.36</v>
      </c>
      <c r="S41" s="859">
        <f t="shared" si="6"/>
        <v>200.88</v>
      </c>
      <c r="T41" s="848">
        <v>250</v>
      </c>
      <c r="U41" s="416"/>
      <c r="V41" s="416"/>
      <c r="W41" s="546">
        <f t="shared" si="7"/>
        <v>0</v>
      </c>
      <c r="X41" s="615">
        <v>0</v>
      </c>
      <c r="Y41" s="845">
        <f t="shared" si="8"/>
        <v>0</v>
      </c>
      <c r="Z41" s="848"/>
      <c r="AA41" s="838">
        <v>3093.9626079638815</v>
      </c>
      <c r="AB41" s="838">
        <v>717</v>
      </c>
      <c r="AC41" s="838">
        <v>0</v>
      </c>
      <c r="AD41" s="555">
        <f t="shared" si="14"/>
        <v>3810.9626079638815</v>
      </c>
      <c r="AE41" s="839">
        <v>0.2</v>
      </c>
      <c r="AF41" s="556">
        <f t="shared" si="1"/>
        <v>762.1925215927763</v>
      </c>
      <c r="AG41" s="555">
        <f t="shared" si="18"/>
        <v>222.78622177774997</v>
      </c>
      <c r="AH41" s="556">
        <f t="shared" si="9"/>
        <v>222.78622177774997</v>
      </c>
      <c r="AI41" s="561">
        <f t="shared" si="15"/>
        <v>0.058459304038351624</v>
      </c>
      <c r="AJ41" s="556"/>
      <c r="AK41" s="556"/>
      <c r="AL41" s="556">
        <f t="shared" si="10"/>
        <v>363.5281303981941</v>
      </c>
      <c r="AM41" s="840">
        <f t="shared" si="3"/>
        <v>250</v>
      </c>
      <c r="AN41" s="830">
        <v>394</v>
      </c>
      <c r="AO41" s="416"/>
      <c r="AP41" s="841"/>
    </row>
    <row r="42" spans="1:42" ht="20.25">
      <c r="A42" s="822"/>
      <c r="B42" s="822" t="s">
        <v>240</v>
      </c>
      <c r="C42" s="843" t="s">
        <v>532</v>
      </c>
      <c r="D42" s="844">
        <v>77.77219875</v>
      </c>
      <c r="E42" s="841">
        <v>1459</v>
      </c>
      <c r="F42" s="844">
        <v>422.86</v>
      </c>
      <c r="G42" s="844">
        <v>45</v>
      </c>
      <c r="H42" s="844">
        <f t="shared" si="17"/>
        <v>302.08780125</v>
      </c>
      <c r="I42" s="822" t="s">
        <v>207</v>
      </c>
      <c r="J42" s="847">
        <v>301.38780125</v>
      </c>
      <c r="K42" s="862"/>
      <c r="L42" s="845">
        <f t="shared" si="4"/>
        <v>301.38780125</v>
      </c>
      <c r="M42" s="860">
        <v>0.05</v>
      </c>
      <c r="N42" s="863">
        <f t="shared" si="16"/>
        <v>15.0693900625</v>
      </c>
      <c r="O42" s="416">
        <v>43</v>
      </c>
      <c r="P42" s="864"/>
      <c r="Q42" s="546">
        <f t="shared" si="5"/>
        <v>43</v>
      </c>
      <c r="R42" s="860">
        <v>0.36</v>
      </c>
      <c r="S42" s="863">
        <f t="shared" si="6"/>
        <v>15.479999999999999</v>
      </c>
      <c r="T42" s="848"/>
      <c r="U42" s="416"/>
      <c r="V42" s="416"/>
      <c r="W42" s="546">
        <f t="shared" si="7"/>
        <v>0</v>
      </c>
      <c r="X42" s="615">
        <v>0</v>
      </c>
      <c r="Y42" s="845">
        <f t="shared" si="8"/>
        <v>0</v>
      </c>
      <c r="Z42" s="848"/>
      <c r="AA42" s="838">
        <v>344.38780125</v>
      </c>
      <c r="AB42" s="838">
        <v>0</v>
      </c>
      <c r="AC42" s="838"/>
      <c r="AD42" s="555">
        <f t="shared" si="14"/>
        <v>344.38780125</v>
      </c>
      <c r="AE42" s="839">
        <v>1</v>
      </c>
      <c r="AF42" s="556">
        <f t="shared" si="1"/>
        <v>344.38780125</v>
      </c>
      <c r="AG42" s="555">
        <f t="shared" si="18"/>
        <v>100.6633559018658</v>
      </c>
      <c r="AH42" s="556">
        <f t="shared" si="9"/>
        <v>100.6633559018658</v>
      </c>
      <c r="AI42" s="561">
        <f t="shared" si="15"/>
        <v>0.2922965201917581</v>
      </c>
      <c r="AJ42" s="556"/>
      <c r="AK42" s="556"/>
      <c r="AL42" s="556">
        <f t="shared" si="10"/>
        <v>30.5493900625</v>
      </c>
      <c r="AM42" s="840">
        <f t="shared" si="3"/>
        <v>0</v>
      </c>
      <c r="AN42" s="830"/>
      <c r="AO42" s="416"/>
      <c r="AP42" s="841"/>
    </row>
    <row r="43" spans="1:42" ht="20.25">
      <c r="A43" s="822">
        <v>14</v>
      </c>
      <c r="B43" s="822" t="s">
        <v>316</v>
      </c>
      <c r="C43" s="843" t="s">
        <v>533</v>
      </c>
      <c r="D43" s="844">
        <v>53.0650624</v>
      </c>
      <c r="E43" s="841">
        <v>1460</v>
      </c>
      <c r="F43" s="844">
        <v>63.05</v>
      </c>
      <c r="G43" s="844">
        <v>37</v>
      </c>
      <c r="H43" s="844">
        <f t="shared" si="17"/>
        <v>9.984937599999995</v>
      </c>
      <c r="I43" s="822" t="s">
        <v>207</v>
      </c>
      <c r="J43" s="847">
        <v>9.984937599999995</v>
      </c>
      <c r="K43" s="845"/>
      <c r="L43" s="845">
        <f t="shared" si="4"/>
        <v>9.984937599999995</v>
      </c>
      <c r="M43" s="615">
        <v>0.25</v>
      </c>
      <c r="N43" s="848">
        <f t="shared" si="16"/>
        <v>2.4962343999999987</v>
      </c>
      <c r="O43" s="416"/>
      <c r="P43" s="416"/>
      <c r="Q43" s="546">
        <f t="shared" si="5"/>
        <v>0</v>
      </c>
      <c r="R43" s="615"/>
      <c r="S43" s="845">
        <f t="shared" si="6"/>
        <v>0</v>
      </c>
      <c r="T43" s="848"/>
      <c r="U43" s="416"/>
      <c r="V43" s="416"/>
      <c r="W43" s="546">
        <f t="shared" si="7"/>
        <v>0</v>
      </c>
      <c r="X43" s="615">
        <v>0</v>
      </c>
      <c r="Y43" s="845">
        <f t="shared" si="8"/>
        <v>0</v>
      </c>
      <c r="Z43" s="848"/>
      <c r="AA43" s="838">
        <v>9.984937599999995</v>
      </c>
      <c r="AB43" s="838">
        <v>0</v>
      </c>
      <c r="AC43" s="838"/>
      <c r="AD43" s="555">
        <f t="shared" si="14"/>
        <v>9.984937599999995</v>
      </c>
      <c r="AE43" s="839">
        <v>0.25</v>
      </c>
      <c r="AF43" s="556">
        <f t="shared" si="1"/>
        <v>2.4962343999999987</v>
      </c>
      <c r="AG43" s="555">
        <f t="shared" si="18"/>
        <v>0.7296406287029609</v>
      </c>
      <c r="AH43" s="556">
        <f t="shared" si="9"/>
        <v>0.7296406287029609</v>
      </c>
      <c r="AI43" s="561">
        <f t="shared" si="15"/>
        <v>0.07307413004793953</v>
      </c>
      <c r="AJ43" s="556"/>
      <c r="AK43" s="556"/>
      <c r="AL43" s="556">
        <f t="shared" si="10"/>
        <v>2.4962343999999987</v>
      </c>
      <c r="AM43" s="840">
        <f t="shared" si="3"/>
        <v>0</v>
      </c>
      <c r="AN43" s="830"/>
      <c r="AO43" s="416"/>
      <c r="AP43" s="841"/>
    </row>
    <row r="44" spans="1:42" ht="20.25">
      <c r="A44" s="822">
        <v>15</v>
      </c>
      <c r="B44" s="822" t="s">
        <v>280</v>
      </c>
      <c r="C44" s="843" t="s">
        <v>534</v>
      </c>
      <c r="D44" s="844">
        <v>124.76769999999999</v>
      </c>
      <c r="E44" s="841">
        <v>1501</v>
      </c>
      <c r="F44" s="844">
        <v>217.92</v>
      </c>
      <c r="G44" s="844">
        <v>143</v>
      </c>
      <c r="H44" s="844">
        <f t="shared" si="17"/>
        <v>93.1523</v>
      </c>
      <c r="I44" s="822" t="s">
        <v>207</v>
      </c>
      <c r="J44" s="847">
        <v>93.1523</v>
      </c>
      <c r="K44" s="845"/>
      <c r="L44" s="845">
        <f t="shared" si="4"/>
        <v>93.1523</v>
      </c>
      <c r="M44" s="615">
        <v>0.2</v>
      </c>
      <c r="N44" s="848">
        <f t="shared" si="16"/>
        <v>18.63046</v>
      </c>
      <c r="O44" s="416"/>
      <c r="P44" s="416"/>
      <c r="Q44" s="546">
        <f t="shared" si="5"/>
        <v>0</v>
      </c>
      <c r="R44" s="615"/>
      <c r="S44" s="845">
        <f t="shared" si="6"/>
        <v>0</v>
      </c>
      <c r="T44" s="848"/>
      <c r="U44" s="416"/>
      <c r="V44" s="416"/>
      <c r="W44" s="546">
        <f t="shared" si="7"/>
        <v>0</v>
      </c>
      <c r="X44" s="615">
        <v>0</v>
      </c>
      <c r="Y44" s="845">
        <f t="shared" si="8"/>
        <v>0</v>
      </c>
      <c r="Z44" s="848"/>
      <c r="AA44" s="838">
        <v>93.1523</v>
      </c>
      <c r="AB44" s="838">
        <v>0</v>
      </c>
      <c r="AC44" s="838"/>
      <c r="AD44" s="555">
        <f t="shared" si="14"/>
        <v>93.1523</v>
      </c>
      <c r="AE44" s="839">
        <v>1.5</v>
      </c>
      <c r="AF44" s="556">
        <f t="shared" si="1"/>
        <v>139.72845</v>
      </c>
      <c r="AG44" s="555">
        <f t="shared" si="18"/>
        <v>40.84213970678807</v>
      </c>
      <c r="AH44" s="556">
        <f t="shared" si="9"/>
        <v>40.84213970678807</v>
      </c>
      <c r="AI44" s="561">
        <f t="shared" si="15"/>
        <v>0.4384447802876372</v>
      </c>
      <c r="AJ44" s="556"/>
      <c r="AK44" s="556"/>
      <c r="AL44" s="556">
        <f t="shared" si="10"/>
        <v>18.63046</v>
      </c>
      <c r="AM44" s="840">
        <f t="shared" si="3"/>
        <v>0</v>
      </c>
      <c r="AN44" s="830"/>
      <c r="AO44" s="416"/>
      <c r="AP44" s="841"/>
    </row>
    <row r="45" spans="1:42" ht="20.25">
      <c r="A45" s="822">
        <v>15</v>
      </c>
      <c r="B45" s="822" t="s">
        <v>317</v>
      </c>
      <c r="C45" s="843" t="s">
        <v>535</v>
      </c>
      <c r="D45" s="844">
        <v>0</v>
      </c>
      <c r="E45" s="841">
        <v>1550</v>
      </c>
      <c r="F45" s="844">
        <v>1132.27</v>
      </c>
      <c r="G45" s="844"/>
      <c r="H45" s="844">
        <f t="shared" si="17"/>
        <v>465.27</v>
      </c>
      <c r="I45" s="822" t="s">
        <v>207</v>
      </c>
      <c r="J45" s="847">
        <f>489.47-15</f>
        <v>474.47</v>
      </c>
      <c r="K45" s="845"/>
      <c r="L45" s="845">
        <f t="shared" si="4"/>
        <v>474.47</v>
      </c>
      <c r="M45" s="615">
        <v>0.05</v>
      </c>
      <c r="N45" s="848">
        <f t="shared" si="16"/>
        <v>23.7235</v>
      </c>
      <c r="O45" s="416">
        <v>667</v>
      </c>
      <c r="P45" s="416"/>
      <c r="Q45" s="546">
        <f t="shared" si="5"/>
        <v>667</v>
      </c>
      <c r="R45" s="615">
        <v>0.3</v>
      </c>
      <c r="S45" s="850">
        <f t="shared" si="6"/>
        <v>200.1</v>
      </c>
      <c r="T45" s="851">
        <v>540</v>
      </c>
      <c r="U45" s="416"/>
      <c r="V45" s="416"/>
      <c r="X45" s="615">
        <v>0</v>
      </c>
      <c r="Y45" s="845">
        <f t="shared" si="8"/>
        <v>0</v>
      </c>
      <c r="Z45" s="852">
        <v>0</v>
      </c>
      <c r="AA45" s="838">
        <v>1141.47</v>
      </c>
      <c r="AB45" s="838">
        <v>0</v>
      </c>
      <c r="AC45" s="838">
        <v>0</v>
      </c>
      <c r="AD45" s="555">
        <f t="shared" si="14"/>
        <v>1141.47</v>
      </c>
      <c r="AE45" s="839">
        <v>0.75</v>
      </c>
      <c r="AF45" s="556">
        <f t="shared" si="1"/>
        <v>856.1025</v>
      </c>
      <c r="AG45" s="555">
        <f t="shared" si="18"/>
        <v>250.2357816774646</v>
      </c>
      <c r="AH45" s="556">
        <f t="shared" si="9"/>
        <v>250.2357816774646</v>
      </c>
      <c r="AI45" s="561">
        <f t="shared" si="15"/>
        <v>0.21922239014381856</v>
      </c>
      <c r="AJ45" s="556"/>
      <c r="AK45" s="556"/>
      <c r="AL45" s="556">
        <f t="shared" si="10"/>
        <v>223.8235</v>
      </c>
      <c r="AM45" s="840">
        <f t="shared" si="3"/>
        <v>540</v>
      </c>
      <c r="AN45" s="830">
        <v>0</v>
      </c>
      <c r="AO45" s="416"/>
      <c r="AP45" s="841"/>
    </row>
    <row r="46" spans="1:42" ht="20.25">
      <c r="A46" s="822">
        <v>16</v>
      </c>
      <c r="B46" s="822" t="s">
        <v>281</v>
      </c>
      <c r="C46" s="843" t="s">
        <v>536</v>
      </c>
      <c r="D46" s="844">
        <v>2.79</v>
      </c>
      <c r="E46" s="841">
        <v>1601</v>
      </c>
      <c r="F46" s="844">
        <v>1148.33</v>
      </c>
      <c r="G46" s="844">
        <v>3</v>
      </c>
      <c r="H46" s="844">
        <f t="shared" si="17"/>
        <v>172.53999999999996</v>
      </c>
      <c r="I46" s="822" t="s">
        <v>207</v>
      </c>
      <c r="J46" s="847">
        <v>170.74</v>
      </c>
      <c r="K46" s="845"/>
      <c r="L46" s="845">
        <f t="shared" si="4"/>
        <v>170.74</v>
      </c>
      <c r="M46" s="615">
        <v>0.1</v>
      </c>
      <c r="N46" s="848">
        <f t="shared" si="16"/>
        <v>17.074</v>
      </c>
      <c r="O46" s="416">
        <v>956</v>
      </c>
      <c r="P46" s="416"/>
      <c r="Q46" s="546">
        <f t="shared" si="5"/>
        <v>956</v>
      </c>
      <c r="R46" s="615">
        <v>0.2</v>
      </c>
      <c r="S46" s="845">
        <f t="shared" si="6"/>
        <v>191.20000000000002</v>
      </c>
      <c r="T46" s="848">
        <v>50</v>
      </c>
      <c r="U46" s="416">
        <v>17</v>
      </c>
      <c r="V46" s="416"/>
      <c r="W46" s="546">
        <f t="shared" si="7"/>
        <v>17</v>
      </c>
      <c r="X46" s="615">
        <v>0</v>
      </c>
      <c r="Y46" s="845">
        <f t="shared" si="8"/>
        <v>0</v>
      </c>
      <c r="Z46" s="852">
        <v>0</v>
      </c>
      <c r="AA46" s="838">
        <v>1143.74</v>
      </c>
      <c r="AB46" s="838">
        <v>0</v>
      </c>
      <c r="AC46" s="838"/>
      <c r="AD46" s="555">
        <f t="shared" si="14"/>
        <v>1143.74</v>
      </c>
      <c r="AE46" s="839">
        <v>0.5</v>
      </c>
      <c r="AF46" s="556">
        <f t="shared" si="1"/>
        <v>571.87</v>
      </c>
      <c r="AG46" s="555">
        <f t="shared" si="18"/>
        <v>167.1556110020607</v>
      </c>
      <c r="AH46" s="556">
        <f t="shared" si="9"/>
        <v>167.1556110020607</v>
      </c>
      <c r="AI46" s="561">
        <f t="shared" si="15"/>
        <v>0.14614826009587906</v>
      </c>
      <c r="AJ46" s="556"/>
      <c r="AK46" s="556"/>
      <c r="AL46" s="556">
        <f t="shared" si="10"/>
        <v>208.27400000000003</v>
      </c>
      <c r="AM46" s="840">
        <f t="shared" si="3"/>
        <v>50</v>
      </c>
      <c r="AN46" s="830"/>
      <c r="AO46" s="416"/>
      <c r="AP46" s="841"/>
    </row>
    <row r="47" spans="1:42" ht="20.25">
      <c r="A47" s="822">
        <v>17</v>
      </c>
      <c r="B47" s="822" t="s">
        <v>318</v>
      </c>
      <c r="C47" s="843" t="s">
        <v>537</v>
      </c>
      <c r="D47" s="844">
        <v>425.333728</v>
      </c>
      <c r="E47" s="841">
        <v>1701</v>
      </c>
      <c r="F47" s="844">
        <v>605.72</v>
      </c>
      <c r="G47" s="844">
        <v>417</v>
      </c>
      <c r="H47" s="844">
        <f t="shared" si="17"/>
        <v>56.38627200000002</v>
      </c>
      <c r="I47" s="822" t="s">
        <v>207</v>
      </c>
      <c r="J47" s="847">
        <v>56.38627200000002</v>
      </c>
      <c r="K47" s="845"/>
      <c r="L47" s="845">
        <f t="shared" si="4"/>
        <v>56.38627200000002</v>
      </c>
      <c r="M47" s="615">
        <v>0</v>
      </c>
      <c r="N47" s="848">
        <f t="shared" si="16"/>
        <v>0</v>
      </c>
      <c r="O47" s="416">
        <v>124</v>
      </c>
      <c r="P47" s="416"/>
      <c r="Q47" s="546">
        <f t="shared" si="5"/>
        <v>124</v>
      </c>
      <c r="R47" s="615">
        <v>0.25</v>
      </c>
      <c r="S47" s="845">
        <f t="shared" si="6"/>
        <v>31</v>
      </c>
      <c r="T47" s="848">
        <v>50</v>
      </c>
      <c r="U47" s="416"/>
      <c r="V47" s="416"/>
      <c r="W47" s="546">
        <f t="shared" si="7"/>
        <v>0</v>
      </c>
      <c r="X47" s="615">
        <v>0</v>
      </c>
      <c r="Y47" s="845">
        <f t="shared" si="8"/>
        <v>0</v>
      </c>
      <c r="Z47" s="848"/>
      <c r="AA47" s="838">
        <v>180.38627200000002</v>
      </c>
      <c r="AB47" s="838">
        <v>0</v>
      </c>
      <c r="AC47" s="838"/>
      <c r="AD47" s="555">
        <f t="shared" si="14"/>
        <v>180.38627200000002</v>
      </c>
      <c r="AE47" s="839">
        <v>1</v>
      </c>
      <c r="AF47" s="556">
        <f t="shared" si="1"/>
        <v>180.38627200000002</v>
      </c>
      <c r="AG47" s="555">
        <f t="shared" si="18"/>
        <v>52.72627959596398</v>
      </c>
      <c r="AH47" s="556">
        <f t="shared" si="9"/>
        <v>52.72627959596398</v>
      </c>
      <c r="AI47" s="561">
        <f t="shared" si="15"/>
        <v>0.2922965201917581</v>
      </c>
      <c r="AJ47" s="556"/>
      <c r="AK47" s="556"/>
      <c r="AL47" s="556">
        <f t="shared" si="10"/>
        <v>31</v>
      </c>
      <c r="AM47" s="840">
        <f t="shared" si="3"/>
        <v>50</v>
      </c>
      <c r="AN47" s="830"/>
      <c r="AO47" s="416"/>
      <c r="AP47" s="841"/>
    </row>
    <row r="48" spans="1:42" ht="20.25">
      <c r="A48" s="822">
        <v>17</v>
      </c>
      <c r="B48" s="822" t="s">
        <v>282</v>
      </c>
      <c r="C48" s="843" t="s">
        <v>538</v>
      </c>
      <c r="D48" s="844">
        <v>0</v>
      </c>
      <c r="E48" s="841">
        <v>1751</v>
      </c>
      <c r="F48" s="844">
        <v>377.29</v>
      </c>
      <c r="G48" s="844"/>
      <c r="H48" s="844"/>
      <c r="I48" s="822" t="s">
        <v>207</v>
      </c>
      <c r="J48" s="847"/>
      <c r="K48" s="845"/>
      <c r="L48" s="845">
        <f t="shared" si="4"/>
        <v>0</v>
      </c>
      <c r="M48" s="615"/>
      <c r="N48" s="848">
        <f t="shared" si="16"/>
        <v>0</v>
      </c>
      <c r="O48" s="416">
        <v>322</v>
      </c>
      <c r="P48" s="416"/>
      <c r="Q48" s="546">
        <f t="shared" si="5"/>
        <v>322</v>
      </c>
      <c r="R48" s="615">
        <v>0.25</v>
      </c>
      <c r="S48" s="845">
        <f t="shared" si="6"/>
        <v>80.5</v>
      </c>
      <c r="T48" s="848"/>
      <c r="U48" s="416">
        <v>55</v>
      </c>
      <c r="V48" s="416"/>
      <c r="W48" s="546">
        <f t="shared" si="7"/>
        <v>55</v>
      </c>
      <c r="X48" s="615">
        <v>0</v>
      </c>
      <c r="Y48" s="845">
        <f t="shared" si="8"/>
        <v>0</v>
      </c>
      <c r="Z48" s="848">
        <v>50</v>
      </c>
      <c r="AA48" s="838">
        <v>377</v>
      </c>
      <c r="AB48" s="838">
        <v>0</v>
      </c>
      <c r="AC48" s="838"/>
      <c r="AD48" s="555">
        <f t="shared" si="14"/>
        <v>377</v>
      </c>
      <c r="AE48" s="839">
        <v>0.5</v>
      </c>
      <c r="AF48" s="556">
        <f t="shared" si="1"/>
        <v>188.5</v>
      </c>
      <c r="AG48" s="555">
        <f t="shared" si="18"/>
        <v>55.0978940561464</v>
      </c>
      <c r="AH48" s="556">
        <f t="shared" si="9"/>
        <v>55.0978940561464</v>
      </c>
      <c r="AI48" s="561">
        <f t="shared" si="15"/>
        <v>0.14614826009587906</v>
      </c>
      <c r="AJ48" s="556"/>
      <c r="AK48" s="556"/>
      <c r="AL48" s="556">
        <f t="shared" si="10"/>
        <v>80.5</v>
      </c>
      <c r="AM48" s="840">
        <f t="shared" si="3"/>
        <v>50</v>
      </c>
      <c r="AN48" s="830"/>
      <c r="AO48" s="416"/>
      <c r="AP48" s="841"/>
    </row>
    <row r="49" spans="1:42" ht="20.25">
      <c r="A49" s="822">
        <v>17</v>
      </c>
      <c r="B49" s="822" t="s">
        <v>283</v>
      </c>
      <c r="C49" s="843" t="s">
        <v>539</v>
      </c>
      <c r="D49" s="844">
        <v>0</v>
      </c>
      <c r="E49" s="841">
        <v>1752</v>
      </c>
      <c r="F49" s="844">
        <v>231.08</v>
      </c>
      <c r="G49" s="844"/>
      <c r="H49" s="844">
        <f>+F49-D49-O49-U49</f>
        <v>3.0800000000000125</v>
      </c>
      <c r="I49" s="822" t="s">
        <v>207</v>
      </c>
      <c r="J49" s="847">
        <v>2.5800000000000125</v>
      </c>
      <c r="K49" s="845"/>
      <c r="L49" s="845">
        <f t="shared" si="4"/>
        <v>2.5800000000000125</v>
      </c>
      <c r="M49" s="615">
        <v>0</v>
      </c>
      <c r="N49" s="848">
        <f t="shared" si="16"/>
        <v>0</v>
      </c>
      <c r="O49" s="416">
        <v>228</v>
      </c>
      <c r="P49" s="416"/>
      <c r="Q49" s="546">
        <f t="shared" si="5"/>
        <v>228</v>
      </c>
      <c r="R49" s="615">
        <v>0.25</v>
      </c>
      <c r="S49" s="845">
        <f t="shared" si="6"/>
        <v>57</v>
      </c>
      <c r="T49" s="848">
        <v>50</v>
      </c>
      <c r="U49" s="416"/>
      <c r="V49" s="416"/>
      <c r="W49" s="546">
        <f t="shared" si="7"/>
        <v>0</v>
      </c>
      <c r="X49" s="615">
        <v>0</v>
      </c>
      <c r="Y49" s="845">
        <f t="shared" si="8"/>
        <v>0</v>
      </c>
      <c r="Z49" s="848">
        <v>0</v>
      </c>
      <c r="AA49" s="838">
        <v>230.58</v>
      </c>
      <c r="AB49" s="838">
        <v>0</v>
      </c>
      <c r="AC49" s="838"/>
      <c r="AD49" s="555">
        <f t="shared" si="14"/>
        <v>230.58</v>
      </c>
      <c r="AE49" s="839">
        <v>0.5</v>
      </c>
      <c r="AF49" s="556">
        <f t="shared" si="1"/>
        <v>115.29</v>
      </c>
      <c r="AG49" s="555">
        <f t="shared" si="18"/>
        <v>33.6988658129078</v>
      </c>
      <c r="AH49" s="556">
        <f t="shared" si="9"/>
        <v>33.6988658129078</v>
      </c>
      <c r="AI49" s="561">
        <f t="shared" si="15"/>
        <v>0.14614826009587906</v>
      </c>
      <c r="AJ49" s="556"/>
      <c r="AK49" s="556"/>
      <c r="AL49" s="556">
        <f t="shared" si="10"/>
        <v>57</v>
      </c>
      <c r="AM49" s="840">
        <f t="shared" si="3"/>
        <v>50</v>
      </c>
      <c r="AN49" s="830"/>
      <c r="AO49" s="416"/>
      <c r="AP49" s="841"/>
    </row>
    <row r="50" spans="1:42" ht="20.25">
      <c r="A50" s="822">
        <v>18</v>
      </c>
      <c r="B50" s="822" t="s">
        <v>241</v>
      </c>
      <c r="C50" s="843" t="s">
        <v>540</v>
      </c>
      <c r="D50" s="844">
        <v>64.69</v>
      </c>
      <c r="E50" s="841">
        <v>1801</v>
      </c>
      <c r="F50" s="844">
        <v>64.72</v>
      </c>
      <c r="G50" s="844">
        <v>64</v>
      </c>
      <c r="H50" s="844"/>
      <c r="I50" s="822" t="s">
        <v>207</v>
      </c>
      <c r="J50" s="836"/>
      <c r="L50" s="845">
        <f t="shared" si="4"/>
        <v>0</v>
      </c>
      <c r="N50" s="837">
        <f t="shared" si="16"/>
        <v>0</v>
      </c>
      <c r="O50" s="416"/>
      <c r="P50" s="416"/>
      <c r="Q50" s="546">
        <f t="shared" si="5"/>
        <v>0</v>
      </c>
      <c r="S50" s="546">
        <f t="shared" si="6"/>
        <v>0</v>
      </c>
      <c r="T50" s="837"/>
      <c r="U50" s="416"/>
      <c r="V50" s="416"/>
      <c r="W50" s="546">
        <f t="shared" si="7"/>
        <v>0</v>
      </c>
      <c r="Y50" s="546">
        <f t="shared" si="8"/>
        <v>0</v>
      </c>
      <c r="Z50" s="837"/>
      <c r="AA50" s="838"/>
      <c r="AB50" s="838"/>
      <c r="AC50" s="838"/>
      <c r="AD50" s="555"/>
      <c r="AE50" s="839"/>
      <c r="AF50" s="556">
        <f t="shared" si="1"/>
        <v>0</v>
      </c>
      <c r="AG50" s="555">
        <f t="shared" si="18"/>
        <v>0</v>
      </c>
      <c r="AH50" s="556">
        <f t="shared" si="9"/>
        <v>0</v>
      </c>
      <c r="AI50" s="561"/>
      <c r="AJ50" s="556"/>
      <c r="AK50" s="556"/>
      <c r="AL50" s="556">
        <f t="shared" si="10"/>
        <v>0</v>
      </c>
      <c r="AM50" s="840">
        <f t="shared" si="3"/>
        <v>0</v>
      </c>
      <c r="AN50" s="830"/>
      <c r="AO50" s="416"/>
      <c r="AP50" s="841"/>
    </row>
    <row r="51" spans="1:42" ht="20.25">
      <c r="A51" s="822">
        <v>18</v>
      </c>
      <c r="B51" s="822" t="s">
        <v>279</v>
      </c>
      <c r="C51" s="843" t="s">
        <v>541</v>
      </c>
      <c r="D51" s="844">
        <v>785.9468869799999</v>
      </c>
      <c r="E51" s="841">
        <v>1802</v>
      </c>
      <c r="F51" s="844">
        <v>1614.34</v>
      </c>
      <c r="G51" s="844">
        <v>754</v>
      </c>
      <c r="H51" s="844">
        <f aca="true" t="shared" si="19" ref="H51:H57">+F51-D51-O51-U51</f>
        <v>554.39311302</v>
      </c>
      <c r="I51" s="822" t="s">
        <v>207</v>
      </c>
      <c r="J51" s="847">
        <v>552.29311302</v>
      </c>
      <c r="K51" s="845"/>
      <c r="L51" s="845">
        <f t="shared" si="4"/>
        <v>552.29311302</v>
      </c>
      <c r="M51" s="615">
        <v>0</v>
      </c>
      <c r="N51" s="848">
        <f t="shared" si="16"/>
        <v>0</v>
      </c>
      <c r="O51" s="416">
        <v>274</v>
      </c>
      <c r="P51" s="416"/>
      <c r="Q51" s="546">
        <f t="shared" si="5"/>
        <v>274</v>
      </c>
      <c r="R51" s="615">
        <v>0.25</v>
      </c>
      <c r="S51" s="845">
        <f t="shared" si="6"/>
        <v>68.5</v>
      </c>
      <c r="T51" s="848">
        <v>50</v>
      </c>
      <c r="U51" s="416"/>
      <c r="V51" s="416"/>
      <c r="W51" s="546">
        <f t="shared" si="7"/>
        <v>0</v>
      </c>
      <c r="X51" s="615">
        <v>0</v>
      </c>
      <c r="Y51" s="845">
        <f t="shared" si="8"/>
        <v>0</v>
      </c>
      <c r="Z51" s="848"/>
      <c r="AA51" s="838">
        <v>826.29311302</v>
      </c>
      <c r="AB51" s="838">
        <v>0</v>
      </c>
      <c r="AC51" s="838"/>
      <c r="AD51" s="555">
        <f t="shared" si="14"/>
        <v>826.29311302</v>
      </c>
      <c r="AE51" s="839">
        <v>0.4</v>
      </c>
      <c r="AF51" s="556">
        <f t="shared" si="1"/>
        <v>330.517245208</v>
      </c>
      <c r="AG51" s="555">
        <f t="shared" si="18"/>
        <v>96.60904063766445</v>
      </c>
      <c r="AH51" s="556">
        <f t="shared" si="9"/>
        <v>96.60904063766445</v>
      </c>
      <c r="AI51" s="561">
        <f t="shared" si="15"/>
        <v>0.11691860807670326</v>
      </c>
      <c r="AJ51" s="556"/>
      <c r="AK51" s="556"/>
      <c r="AL51" s="556">
        <f t="shared" si="10"/>
        <v>68.5</v>
      </c>
      <c r="AM51" s="840">
        <f t="shared" si="3"/>
        <v>50</v>
      </c>
      <c r="AN51" s="830"/>
      <c r="AO51" s="416"/>
      <c r="AP51" s="841"/>
    </row>
    <row r="52" spans="1:42" ht="20.25">
      <c r="A52" s="822">
        <v>18</v>
      </c>
      <c r="B52" s="822" t="s">
        <v>277</v>
      </c>
      <c r="C52" s="843" t="s">
        <v>542</v>
      </c>
      <c r="D52" s="844">
        <v>871.51554</v>
      </c>
      <c r="E52" s="841">
        <v>1803</v>
      </c>
      <c r="F52" s="844">
        <v>1170.14</v>
      </c>
      <c r="G52" s="844">
        <v>1007</v>
      </c>
      <c r="H52" s="844">
        <f t="shared" si="19"/>
        <v>298.6244600000001</v>
      </c>
      <c r="I52" s="822" t="s">
        <v>207</v>
      </c>
      <c r="J52" s="847">
        <v>298.6244600000001</v>
      </c>
      <c r="K52" s="845"/>
      <c r="L52" s="845">
        <f t="shared" si="4"/>
        <v>298.6244600000001</v>
      </c>
      <c r="M52" s="615">
        <v>0.2</v>
      </c>
      <c r="N52" s="848">
        <f t="shared" si="16"/>
        <v>59.724892000000025</v>
      </c>
      <c r="O52" s="416"/>
      <c r="P52" s="416"/>
      <c r="Q52" s="546">
        <f t="shared" si="5"/>
        <v>0</v>
      </c>
      <c r="R52" s="615"/>
      <c r="S52" s="845">
        <f t="shared" si="6"/>
        <v>0</v>
      </c>
      <c r="T52" s="848"/>
      <c r="U52" s="416"/>
      <c r="V52" s="416"/>
      <c r="W52" s="546">
        <f t="shared" si="7"/>
        <v>0</v>
      </c>
      <c r="X52" s="615">
        <v>0</v>
      </c>
      <c r="Y52" s="845">
        <f t="shared" si="8"/>
        <v>0</v>
      </c>
      <c r="Z52" s="848"/>
      <c r="AA52" s="838">
        <v>298.6244600000001</v>
      </c>
      <c r="AB52" s="838">
        <v>0</v>
      </c>
      <c r="AC52" s="838"/>
      <c r="AD52" s="555">
        <f t="shared" si="14"/>
        <v>298.6244600000001</v>
      </c>
      <c r="AE52" s="839">
        <v>0.5</v>
      </c>
      <c r="AF52" s="556">
        <f t="shared" si="1"/>
        <v>149.31223000000006</v>
      </c>
      <c r="AG52" s="555">
        <f t="shared" si="18"/>
        <v>43.64344525107145</v>
      </c>
      <c r="AH52" s="556">
        <f t="shared" si="9"/>
        <v>43.64344525107145</v>
      </c>
      <c r="AI52" s="561">
        <f t="shared" si="15"/>
        <v>0.14614826009587906</v>
      </c>
      <c r="AJ52" s="556"/>
      <c r="AK52" s="556"/>
      <c r="AL52" s="556">
        <f t="shared" si="10"/>
        <v>59.724892000000025</v>
      </c>
      <c r="AM52" s="840">
        <f t="shared" si="3"/>
        <v>0</v>
      </c>
      <c r="AN52" s="830"/>
      <c r="AO52" s="416"/>
      <c r="AP52" s="841"/>
    </row>
    <row r="53" spans="1:42" ht="20.25">
      <c r="A53" s="822">
        <v>18</v>
      </c>
      <c r="B53" s="822" t="s">
        <v>276</v>
      </c>
      <c r="C53" s="843" t="s">
        <v>543</v>
      </c>
      <c r="D53" s="844">
        <v>551.53590136</v>
      </c>
      <c r="E53" s="841">
        <v>1804</v>
      </c>
      <c r="F53" s="844">
        <v>587.41</v>
      </c>
      <c r="G53" s="844">
        <v>559</v>
      </c>
      <c r="H53" s="844">
        <f t="shared" si="19"/>
        <v>12.674098639999944</v>
      </c>
      <c r="I53" s="822" t="s">
        <v>207</v>
      </c>
      <c r="J53" s="847">
        <v>12.674098639999944</v>
      </c>
      <c r="K53" s="865"/>
      <c r="L53" s="845">
        <f t="shared" si="4"/>
        <v>12.674098639999944</v>
      </c>
      <c r="M53" s="615">
        <v>0</v>
      </c>
      <c r="N53" s="848">
        <f t="shared" si="16"/>
        <v>0</v>
      </c>
      <c r="O53" s="416">
        <v>11.7</v>
      </c>
      <c r="P53" s="866">
        <v>-11.7</v>
      </c>
      <c r="Q53" s="546">
        <f t="shared" si="5"/>
        <v>0</v>
      </c>
      <c r="R53" s="615">
        <v>0</v>
      </c>
      <c r="S53" s="845">
        <f t="shared" si="6"/>
        <v>0</v>
      </c>
      <c r="T53" s="848"/>
      <c r="U53" s="416">
        <v>11.5</v>
      </c>
      <c r="V53" s="866">
        <v>-11.5</v>
      </c>
      <c r="W53" s="546">
        <f t="shared" si="7"/>
        <v>0</v>
      </c>
      <c r="X53" s="615">
        <v>0</v>
      </c>
      <c r="Y53" s="845">
        <f t="shared" si="8"/>
        <v>0</v>
      </c>
      <c r="Z53" s="848">
        <v>0</v>
      </c>
      <c r="AA53" s="838">
        <v>35.87409863999994</v>
      </c>
      <c r="AB53" s="838">
        <v>-23.2</v>
      </c>
      <c r="AC53" s="838"/>
      <c r="AD53" s="555">
        <f t="shared" si="14"/>
        <v>12.674098639999944</v>
      </c>
      <c r="AE53" s="839">
        <v>0</v>
      </c>
      <c r="AF53" s="556">
        <f t="shared" si="1"/>
        <v>0</v>
      </c>
      <c r="AG53" s="555">
        <f t="shared" si="18"/>
        <v>0</v>
      </c>
      <c r="AH53" s="556">
        <f t="shared" si="9"/>
        <v>0</v>
      </c>
      <c r="AI53" s="561">
        <f t="shared" si="15"/>
        <v>0</v>
      </c>
      <c r="AJ53" s="556"/>
      <c r="AK53" s="556"/>
      <c r="AL53" s="556">
        <f t="shared" si="10"/>
        <v>0</v>
      </c>
      <c r="AM53" s="840">
        <f t="shared" si="3"/>
        <v>0</v>
      </c>
      <c r="AN53" s="830"/>
      <c r="AO53" s="416"/>
      <c r="AP53" s="841"/>
    </row>
    <row r="54" spans="1:42" ht="20.25">
      <c r="A54" s="822">
        <v>18</v>
      </c>
      <c r="B54" s="822" t="s">
        <v>278</v>
      </c>
      <c r="C54" s="843" t="s">
        <v>544</v>
      </c>
      <c r="D54" s="844">
        <v>1.7489236799999999</v>
      </c>
      <c r="E54" s="841">
        <v>1805</v>
      </c>
      <c r="F54" s="844">
        <v>315.2</v>
      </c>
      <c r="G54" s="844">
        <v>7</v>
      </c>
      <c r="H54" s="844">
        <f t="shared" si="19"/>
        <v>303.45107631999997</v>
      </c>
      <c r="I54" s="822" t="s">
        <v>207</v>
      </c>
      <c r="J54" s="847">
        <v>303.05107632</v>
      </c>
      <c r="K54" s="845"/>
      <c r="L54" s="845">
        <f t="shared" si="4"/>
        <v>303.05107632</v>
      </c>
      <c r="M54" s="615">
        <v>0.2</v>
      </c>
      <c r="N54" s="848">
        <f t="shared" si="16"/>
        <v>60.610215264000004</v>
      </c>
      <c r="O54" s="416">
        <v>10</v>
      </c>
      <c r="P54" s="416"/>
      <c r="Q54" s="546">
        <f t="shared" si="5"/>
        <v>10</v>
      </c>
      <c r="R54" s="615">
        <v>0.2</v>
      </c>
      <c r="S54" s="845">
        <f t="shared" si="6"/>
        <v>2</v>
      </c>
      <c r="T54" s="848"/>
      <c r="U54" s="416"/>
      <c r="V54" s="416"/>
      <c r="W54" s="546">
        <f t="shared" si="7"/>
        <v>0</v>
      </c>
      <c r="X54" s="615">
        <v>0</v>
      </c>
      <c r="Y54" s="845">
        <f t="shared" si="8"/>
        <v>0</v>
      </c>
      <c r="Z54" s="848"/>
      <c r="AA54" s="838">
        <v>313.05107632</v>
      </c>
      <c r="AB54" s="838">
        <v>0</v>
      </c>
      <c r="AC54" s="838"/>
      <c r="AD54" s="555">
        <f t="shared" si="14"/>
        <v>313.05107632</v>
      </c>
      <c r="AE54" s="839">
        <v>0.75</v>
      </c>
      <c r="AF54" s="556">
        <f t="shared" si="1"/>
        <v>234.78830724</v>
      </c>
      <c r="AG54" s="555">
        <f t="shared" si="18"/>
        <v>68.62780518796536</v>
      </c>
      <c r="AH54" s="556">
        <f t="shared" si="9"/>
        <v>68.62780518796536</v>
      </c>
      <c r="AI54" s="561">
        <f t="shared" si="15"/>
        <v>0.21922239014381859</v>
      </c>
      <c r="AJ54" s="556"/>
      <c r="AK54" s="556"/>
      <c r="AL54" s="556">
        <f t="shared" si="10"/>
        <v>62.610215264000004</v>
      </c>
      <c r="AM54" s="840">
        <f t="shared" si="3"/>
        <v>0</v>
      </c>
      <c r="AN54" s="830"/>
      <c r="AO54" s="416"/>
      <c r="AP54" s="841"/>
    </row>
    <row r="55" spans="1:42" ht="20.25">
      <c r="A55" s="822">
        <v>18</v>
      </c>
      <c r="B55" s="822" t="s">
        <v>319</v>
      </c>
      <c r="C55" s="843" t="s">
        <v>545</v>
      </c>
      <c r="D55" s="844">
        <v>32.4512032</v>
      </c>
      <c r="E55" s="841">
        <v>1806</v>
      </c>
      <c r="F55" s="844">
        <v>210.18</v>
      </c>
      <c r="G55" s="844">
        <v>4</v>
      </c>
      <c r="H55" s="844">
        <f t="shared" si="19"/>
        <v>177.7287968</v>
      </c>
      <c r="I55" s="822" t="s">
        <v>207</v>
      </c>
      <c r="J55" s="847">
        <v>177.7287968</v>
      </c>
      <c r="K55" s="845"/>
      <c r="L55" s="845">
        <f t="shared" si="4"/>
        <v>177.7287968</v>
      </c>
      <c r="M55" s="615">
        <v>0.2</v>
      </c>
      <c r="N55" s="848">
        <f t="shared" si="16"/>
        <v>35.54575936</v>
      </c>
      <c r="O55" s="416"/>
      <c r="P55" s="416"/>
      <c r="Q55" s="546">
        <f t="shared" si="5"/>
        <v>0</v>
      </c>
      <c r="R55" s="615"/>
      <c r="S55" s="845">
        <f t="shared" si="6"/>
        <v>0</v>
      </c>
      <c r="T55" s="848"/>
      <c r="U55" s="416"/>
      <c r="V55" s="416"/>
      <c r="W55" s="546">
        <f t="shared" si="7"/>
        <v>0</v>
      </c>
      <c r="X55" s="615">
        <v>0</v>
      </c>
      <c r="Y55" s="845">
        <f t="shared" si="8"/>
        <v>0</v>
      </c>
      <c r="Z55" s="848"/>
      <c r="AA55" s="838">
        <v>177.7287968</v>
      </c>
      <c r="AB55" s="838">
        <v>0</v>
      </c>
      <c r="AC55" s="838"/>
      <c r="AD55" s="555">
        <f t="shared" si="14"/>
        <v>177.7287968</v>
      </c>
      <c r="AE55" s="839">
        <v>0.4</v>
      </c>
      <c r="AF55" s="556">
        <f t="shared" si="1"/>
        <v>71.09151872</v>
      </c>
      <c r="AG55" s="555">
        <f t="shared" si="18"/>
        <v>20.77980353700323</v>
      </c>
      <c r="AH55" s="556">
        <f t="shared" si="9"/>
        <v>20.77980353700323</v>
      </c>
      <c r="AI55" s="561">
        <f t="shared" si="15"/>
        <v>0.11691860807670323</v>
      </c>
      <c r="AJ55" s="556"/>
      <c r="AK55" s="556"/>
      <c r="AL55" s="556">
        <f t="shared" si="10"/>
        <v>35.54575936</v>
      </c>
      <c r="AM55" s="840">
        <f t="shared" si="3"/>
        <v>0</v>
      </c>
      <c r="AN55" s="830"/>
      <c r="AO55" s="416"/>
      <c r="AP55" s="841"/>
    </row>
    <row r="56" spans="1:42" ht="20.25">
      <c r="A56" s="822">
        <v>18</v>
      </c>
      <c r="B56" s="822" t="s">
        <v>320</v>
      </c>
      <c r="C56" s="843" t="s">
        <v>546</v>
      </c>
      <c r="D56" s="844">
        <v>235.42275889000004</v>
      </c>
      <c r="E56" s="841">
        <v>1810</v>
      </c>
      <c r="F56" s="844">
        <v>2618</v>
      </c>
      <c r="G56" s="844">
        <v>304</v>
      </c>
      <c r="H56" s="844">
        <f t="shared" si="19"/>
        <v>984.8772411100001</v>
      </c>
      <c r="I56" s="822" t="s">
        <v>207</v>
      </c>
      <c r="J56" s="847">
        <f>1048.82724111-75</f>
        <v>973.8272411099999</v>
      </c>
      <c r="K56" s="845"/>
      <c r="L56" s="845">
        <f t="shared" si="4"/>
        <v>973.8272411099999</v>
      </c>
      <c r="M56" s="860">
        <v>0.25</v>
      </c>
      <c r="N56" s="857">
        <f t="shared" si="16"/>
        <v>243.45681027749998</v>
      </c>
      <c r="O56" s="416">
        <f>1332.7+65</f>
        <v>1397.7</v>
      </c>
      <c r="P56" s="416"/>
      <c r="Q56" s="546">
        <f t="shared" si="5"/>
        <v>1397.7</v>
      </c>
      <c r="R56" s="860">
        <v>0.434</v>
      </c>
      <c r="S56" s="857">
        <f t="shared" si="6"/>
        <v>606.6018</v>
      </c>
      <c r="T56" s="848">
        <v>550</v>
      </c>
      <c r="U56" s="416"/>
      <c r="V56" s="416"/>
      <c r="W56" s="546">
        <f t="shared" si="7"/>
        <v>0</v>
      </c>
      <c r="X56" s="615">
        <v>0</v>
      </c>
      <c r="Y56" s="845">
        <f t="shared" si="8"/>
        <v>0</v>
      </c>
      <c r="Z56" s="848">
        <v>700</v>
      </c>
      <c r="AA56" s="838">
        <v>2371.52724111</v>
      </c>
      <c r="AB56" s="838">
        <v>0</v>
      </c>
      <c r="AC56" s="838">
        <v>250</v>
      </c>
      <c r="AD56" s="555">
        <f t="shared" si="14"/>
        <v>2621.52724111</v>
      </c>
      <c r="AE56" s="839">
        <v>1.3</v>
      </c>
      <c r="AF56" s="556">
        <f t="shared" si="1"/>
        <v>3407.985413443</v>
      </c>
      <c r="AG56" s="555">
        <f t="shared" si="18"/>
        <v>996.142277213659</v>
      </c>
      <c r="AH56" s="556">
        <f t="shared" si="9"/>
        <v>1246.1422772136589</v>
      </c>
      <c r="AI56" s="561">
        <f t="shared" si="15"/>
        <v>0.47534973418243814</v>
      </c>
      <c r="AJ56" s="556"/>
      <c r="AK56" s="556"/>
      <c r="AL56" s="556">
        <f t="shared" si="10"/>
        <v>850.0586102775001</v>
      </c>
      <c r="AM56" s="840">
        <f t="shared" si="3"/>
        <v>1250</v>
      </c>
      <c r="AN56" s="830">
        <v>744</v>
      </c>
      <c r="AO56" s="416"/>
      <c r="AP56" s="841"/>
    </row>
    <row r="57" spans="1:42" ht="20.25">
      <c r="A57" s="822">
        <v>19</v>
      </c>
      <c r="B57" s="822" t="s">
        <v>242</v>
      </c>
      <c r="C57" s="843" t="s">
        <v>547</v>
      </c>
      <c r="D57" s="844">
        <v>2042.4258768000002</v>
      </c>
      <c r="E57" s="841">
        <v>1901</v>
      </c>
      <c r="F57" s="844">
        <v>2621</v>
      </c>
      <c r="G57" s="844">
        <v>2008</v>
      </c>
      <c r="H57" s="844">
        <f t="shared" si="19"/>
        <v>174.0741231999998</v>
      </c>
      <c r="I57" s="822" t="s">
        <v>207</v>
      </c>
      <c r="J57" s="847">
        <v>172.2641231999997</v>
      </c>
      <c r="K57" s="845"/>
      <c r="L57" s="845">
        <f t="shared" si="4"/>
        <v>172.2641231999997</v>
      </c>
      <c r="M57" s="615">
        <v>0.05</v>
      </c>
      <c r="N57" s="848">
        <f t="shared" si="16"/>
        <v>8.613206159999985</v>
      </c>
      <c r="O57" s="416">
        <v>251.5</v>
      </c>
      <c r="P57" s="416"/>
      <c r="Q57" s="546">
        <f t="shared" si="5"/>
        <v>251.5</v>
      </c>
      <c r="R57" s="615">
        <v>0.05</v>
      </c>
      <c r="S57" s="845">
        <f t="shared" si="6"/>
        <v>12.575000000000001</v>
      </c>
      <c r="T57" s="848"/>
      <c r="U57" s="416">
        <v>153</v>
      </c>
      <c r="V57" s="416"/>
      <c r="W57" s="546">
        <f t="shared" si="7"/>
        <v>153</v>
      </c>
      <c r="X57" s="615">
        <v>0</v>
      </c>
      <c r="Y57" s="845">
        <f t="shared" si="8"/>
        <v>0</v>
      </c>
      <c r="Z57" s="848">
        <v>200</v>
      </c>
      <c r="AA57" s="838">
        <v>576.7641231999996</v>
      </c>
      <c r="AB57" s="838">
        <v>0</v>
      </c>
      <c r="AC57" s="838"/>
      <c r="AD57" s="555">
        <f t="shared" si="14"/>
        <v>576.7641231999996</v>
      </c>
      <c r="AE57" s="839">
        <v>0.2</v>
      </c>
      <c r="AF57" s="556">
        <f t="shared" si="1"/>
        <v>115.35282463999994</v>
      </c>
      <c r="AG57" s="555">
        <f t="shared" si="18"/>
        <v>33.717229236562076</v>
      </c>
      <c r="AH57" s="556">
        <f t="shared" si="9"/>
        <v>33.717229236562076</v>
      </c>
      <c r="AI57" s="561">
        <f t="shared" si="15"/>
        <v>0.05845930403835163</v>
      </c>
      <c r="AJ57" s="556"/>
      <c r="AK57" s="556"/>
      <c r="AL57" s="556">
        <f t="shared" si="10"/>
        <v>21.188206159999986</v>
      </c>
      <c r="AM57" s="840">
        <f t="shared" si="3"/>
        <v>200</v>
      </c>
      <c r="AN57" s="830"/>
      <c r="AO57" s="416"/>
      <c r="AP57" s="841"/>
    </row>
    <row r="58" spans="1:42" ht="20.25">
      <c r="A58" s="822">
        <v>2</v>
      </c>
      <c r="B58" s="822" t="s">
        <v>284</v>
      </c>
      <c r="C58" s="843" t="s">
        <v>548</v>
      </c>
      <c r="D58" s="844">
        <v>62.8972</v>
      </c>
      <c r="E58" s="841">
        <v>2001</v>
      </c>
      <c r="F58" s="844">
        <v>62.89</v>
      </c>
      <c r="G58" s="844">
        <v>63</v>
      </c>
      <c r="H58" s="844"/>
      <c r="I58" s="822" t="s">
        <v>207</v>
      </c>
      <c r="J58" s="836"/>
      <c r="L58" s="845">
        <f t="shared" si="4"/>
        <v>0</v>
      </c>
      <c r="N58" s="837">
        <f t="shared" si="16"/>
        <v>0</v>
      </c>
      <c r="O58" s="416"/>
      <c r="P58" s="416"/>
      <c r="Q58" s="546">
        <f t="shared" si="5"/>
        <v>0</v>
      </c>
      <c r="S58" s="546">
        <f t="shared" si="6"/>
        <v>0</v>
      </c>
      <c r="T58" s="837"/>
      <c r="U58" s="416"/>
      <c r="V58" s="416"/>
      <c r="W58" s="546">
        <f t="shared" si="7"/>
        <v>0</v>
      </c>
      <c r="Y58" s="546">
        <f t="shared" si="8"/>
        <v>0</v>
      </c>
      <c r="Z58" s="837"/>
      <c r="AA58" s="838"/>
      <c r="AB58" s="838"/>
      <c r="AC58" s="838"/>
      <c r="AD58" s="555"/>
      <c r="AE58" s="839"/>
      <c r="AF58" s="556">
        <f t="shared" si="1"/>
        <v>0</v>
      </c>
      <c r="AG58" s="555">
        <f t="shared" si="18"/>
        <v>0</v>
      </c>
      <c r="AH58" s="556">
        <f t="shared" si="9"/>
        <v>0</v>
      </c>
      <c r="AI58" s="561"/>
      <c r="AJ58" s="556"/>
      <c r="AK58" s="556"/>
      <c r="AL58" s="556">
        <f t="shared" si="10"/>
        <v>0</v>
      </c>
      <c r="AM58" s="840">
        <f t="shared" si="3"/>
        <v>0</v>
      </c>
      <c r="AN58" s="830"/>
      <c r="AO58" s="416"/>
      <c r="AP58" s="841"/>
    </row>
    <row r="59" spans="1:42" ht="20.25">
      <c r="A59" s="822">
        <v>2</v>
      </c>
      <c r="B59" s="822" t="s">
        <v>243</v>
      </c>
      <c r="C59" s="843" t="s">
        <v>549</v>
      </c>
      <c r="D59" s="844">
        <v>0</v>
      </c>
      <c r="E59" s="841">
        <v>2101</v>
      </c>
      <c r="F59" s="844">
        <v>61.21</v>
      </c>
      <c r="G59" s="844"/>
      <c r="H59" s="844"/>
      <c r="I59" s="822" t="s">
        <v>207</v>
      </c>
      <c r="J59" s="847"/>
      <c r="K59" s="845"/>
      <c r="L59" s="845">
        <f t="shared" si="4"/>
        <v>0</v>
      </c>
      <c r="M59" s="615"/>
      <c r="N59" s="848">
        <f t="shared" si="16"/>
        <v>0</v>
      </c>
      <c r="O59" s="416">
        <v>61.2</v>
      </c>
      <c r="P59" s="416"/>
      <c r="Q59" s="546">
        <f t="shared" si="5"/>
        <v>61.2</v>
      </c>
      <c r="R59" s="615">
        <v>0.1</v>
      </c>
      <c r="S59" s="845">
        <f t="shared" si="6"/>
        <v>6.120000000000001</v>
      </c>
      <c r="T59" s="848"/>
      <c r="U59" s="416"/>
      <c r="V59" s="416"/>
      <c r="W59" s="546">
        <f t="shared" si="7"/>
        <v>0</v>
      </c>
      <c r="X59" s="615">
        <v>0</v>
      </c>
      <c r="Y59" s="845">
        <f t="shared" si="8"/>
        <v>0</v>
      </c>
      <c r="Z59" s="848"/>
      <c r="AA59" s="838">
        <v>61.2</v>
      </c>
      <c r="AB59" s="838">
        <v>0</v>
      </c>
      <c r="AC59" s="838"/>
      <c r="AD59" s="555">
        <f t="shared" si="14"/>
        <v>61.2</v>
      </c>
      <c r="AE59" s="839">
        <v>0.3</v>
      </c>
      <c r="AF59" s="556">
        <f t="shared" si="1"/>
        <v>18.36</v>
      </c>
      <c r="AG59" s="555">
        <f t="shared" si="18"/>
        <v>5.366564110720679</v>
      </c>
      <c r="AH59" s="556">
        <f t="shared" si="9"/>
        <v>5.366564110720679</v>
      </c>
      <c r="AI59" s="561">
        <f t="shared" si="15"/>
        <v>0.08768895605752744</v>
      </c>
      <c r="AJ59" s="556"/>
      <c r="AK59" s="556"/>
      <c r="AL59" s="556">
        <f t="shared" si="10"/>
        <v>6.120000000000001</v>
      </c>
      <c r="AM59" s="840">
        <f t="shared" si="3"/>
        <v>0</v>
      </c>
      <c r="AN59" s="830"/>
      <c r="AO59" s="416"/>
      <c r="AP59" s="841"/>
    </row>
    <row r="60" spans="1:42" ht="20.25">
      <c r="A60" s="822">
        <v>2</v>
      </c>
      <c r="B60" s="822" t="s">
        <v>285</v>
      </c>
      <c r="C60" s="843" t="s">
        <v>550</v>
      </c>
      <c r="D60" s="844">
        <v>0</v>
      </c>
      <c r="E60" s="841">
        <v>2201</v>
      </c>
      <c r="F60" s="844">
        <v>77.22</v>
      </c>
      <c r="G60" s="844"/>
      <c r="H60" s="844"/>
      <c r="I60" s="822" t="s">
        <v>207</v>
      </c>
      <c r="J60" s="847"/>
      <c r="K60" s="845"/>
      <c r="L60" s="845">
        <f t="shared" si="4"/>
        <v>0</v>
      </c>
      <c r="M60" s="615"/>
      <c r="N60" s="848">
        <f t="shared" si="16"/>
        <v>0</v>
      </c>
      <c r="O60" s="416">
        <v>77</v>
      </c>
      <c r="P60" s="416"/>
      <c r="Q60" s="546">
        <f t="shared" si="5"/>
        <v>77</v>
      </c>
      <c r="R60" s="615">
        <v>0.1</v>
      </c>
      <c r="S60" s="845">
        <f t="shared" si="6"/>
        <v>7.7</v>
      </c>
      <c r="T60" s="848"/>
      <c r="U60" s="416"/>
      <c r="V60" s="416"/>
      <c r="W60" s="546">
        <f t="shared" si="7"/>
        <v>0</v>
      </c>
      <c r="X60" s="615">
        <v>0</v>
      </c>
      <c r="Y60" s="845">
        <f t="shared" si="8"/>
        <v>0</v>
      </c>
      <c r="Z60" s="848">
        <v>50</v>
      </c>
      <c r="AA60" s="838">
        <v>77</v>
      </c>
      <c r="AB60" s="838">
        <v>0</v>
      </c>
      <c r="AC60" s="838"/>
      <c r="AD60" s="555">
        <f t="shared" si="14"/>
        <v>77</v>
      </c>
      <c r="AE60" s="839">
        <v>0.3</v>
      </c>
      <c r="AF60" s="556">
        <f t="shared" si="1"/>
        <v>23.099999999999998</v>
      </c>
      <c r="AG60" s="555">
        <f t="shared" si="18"/>
        <v>6.752049616429612</v>
      </c>
      <c r="AH60" s="556">
        <f t="shared" si="9"/>
        <v>6.752049616429612</v>
      </c>
      <c r="AI60" s="561">
        <f t="shared" si="15"/>
        <v>0.08768895605752743</v>
      </c>
      <c r="AJ60" s="556"/>
      <c r="AK60" s="556"/>
      <c r="AL60" s="556">
        <f t="shared" si="10"/>
        <v>7.7</v>
      </c>
      <c r="AM60" s="840">
        <f t="shared" si="3"/>
        <v>50</v>
      </c>
      <c r="AN60" s="830"/>
      <c r="AO60" s="416"/>
      <c r="AP60" s="841"/>
    </row>
    <row r="61" spans="1:42" ht="20.25">
      <c r="A61" s="822">
        <v>2</v>
      </c>
      <c r="B61" s="822" t="s">
        <v>244</v>
      </c>
      <c r="C61" s="843" t="s">
        <v>551</v>
      </c>
      <c r="D61" s="844">
        <v>285.01767</v>
      </c>
      <c r="E61" s="841">
        <v>2501</v>
      </c>
      <c r="F61" s="844">
        <v>285.01</v>
      </c>
      <c r="G61" s="844">
        <v>285</v>
      </c>
      <c r="H61" s="844"/>
      <c r="I61" s="822" t="s">
        <v>207</v>
      </c>
      <c r="J61" s="836"/>
      <c r="L61" s="845">
        <f t="shared" si="4"/>
        <v>0</v>
      </c>
      <c r="N61" s="837">
        <f t="shared" si="16"/>
        <v>0</v>
      </c>
      <c r="O61" s="416"/>
      <c r="P61" s="416"/>
      <c r="Q61" s="546">
        <f t="shared" si="5"/>
        <v>0</v>
      </c>
      <c r="S61" s="546">
        <f t="shared" si="6"/>
        <v>0</v>
      </c>
      <c r="T61" s="837"/>
      <c r="U61" s="416"/>
      <c r="V61" s="416"/>
      <c r="W61" s="546">
        <f t="shared" si="7"/>
        <v>0</v>
      </c>
      <c r="Y61" s="546">
        <f t="shared" si="8"/>
        <v>0</v>
      </c>
      <c r="Z61" s="837"/>
      <c r="AA61" s="838"/>
      <c r="AB61" s="838"/>
      <c r="AC61" s="838"/>
      <c r="AD61" s="555"/>
      <c r="AE61" s="839"/>
      <c r="AF61" s="556">
        <f t="shared" si="1"/>
        <v>0</v>
      </c>
      <c r="AG61" s="555">
        <f t="shared" si="18"/>
        <v>0</v>
      </c>
      <c r="AH61" s="556">
        <f t="shared" si="9"/>
        <v>0</v>
      </c>
      <c r="AI61" s="561"/>
      <c r="AJ61" s="556"/>
      <c r="AK61" s="556"/>
      <c r="AL61" s="556">
        <f t="shared" si="10"/>
        <v>0</v>
      </c>
      <c r="AM61" s="840">
        <f t="shared" si="3"/>
        <v>0</v>
      </c>
      <c r="AN61" s="830"/>
      <c r="AO61" s="416"/>
      <c r="AP61" s="841"/>
    </row>
    <row r="62" spans="1:42" ht="20.25">
      <c r="A62" s="822">
        <v>3</v>
      </c>
      <c r="B62" s="822" t="s">
        <v>286</v>
      </c>
      <c r="C62" s="843" t="s">
        <v>552</v>
      </c>
      <c r="D62" s="844">
        <v>387.7871251</v>
      </c>
      <c r="E62" s="841">
        <v>3101</v>
      </c>
      <c r="F62" s="844">
        <v>521.71</v>
      </c>
      <c r="G62" s="844">
        <v>481</v>
      </c>
      <c r="H62" s="844">
        <f>+F62-D62-O62-U62</f>
        <v>112.22287490000002</v>
      </c>
      <c r="I62" s="822" t="s">
        <v>207</v>
      </c>
      <c r="J62" s="847">
        <v>112.22287490000002</v>
      </c>
      <c r="K62" s="845"/>
      <c r="L62" s="845">
        <f t="shared" si="4"/>
        <v>112.22287490000002</v>
      </c>
      <c r="M62" s="615">
        <v>0.15</v>
      </c>
      <c r="N62" s="848">
        <f t="shared" si="16"/>
        <v>16.833431235000003</v>
      </c>
      <c r="O62" s="416">
        <v>21.6</v>
      </c>
      <c r="P62" s="416"/>
      <c r="Q62" s="546">
        <f t="shared" si="5"/>
        <v>21.6</v>
      </c>
      <c r="R62" s="615">
        <v>0.15</v>
      </c>
      <c r="S62" s="845">
        <f t="shared" si="6"/>
        <v>3.24</v>
      </c>
      <c r="T62" s="848">
        <v>0</v>
      </c>
      <c r="U62" s="416">
        <v>0.1</v>
      </c>
      <c r="V62" s="416"/>
      <c r="W62" s="546">
        <f t="shared" si="7"/>
        <v>0.1</v>
      </c>
      <c r="X62" s="615">
        <v>0</v>
      </c>
      <c r="Y62" s="845">
        <f t="shared" si="8"/>
        <v>0</v>
      </c>
      <c r="Z62" s="848"/>
      <c r="AA62" s="838">
        <v>133.9228749</v>
      </c>
      <c r="AB62" s="838">
        <v>0</v>
      </c>
      <c r="AC62" s="838"/>
      <c r="AD62" s="555">
        <f t="shared" si="14"/>
        <v>133.9228749</v>
      </c>
      <c r="AE62" s="839">
        <v>0.25</v>
      </c>
      <c r="AF62" s="556">
        <f t="shared" si="1"/>
        <v>33.480718725</v>
      </c>
      <c r="AG62" s="555">
        <f t="shared" si="18"/>
        <v>9.786297576836537</v>
      </c>
      <c r="AH62" s="556">
        <f t="shared" si="9"/>
        <v>9.786297576836537</v>
      </c>
      <c r="AI62" s="561">
        <f t="shared" si="15"/>
        <v>0.07307413004793953</v>
      </c>
      <c r="AJ62" s="556"/>
      <c r="AK62" s="556"/>
      <c r="AL62" s="556">
        <f t="shared" si="10"/>
        <v>20.073431235</v>
      </c>
      <c r="AM62" s="840">
        <f t="shared" si="3"/>
        <v>0</v>
      </c>
      <c r="AN62" s="830"/>
      <c r="AO62" s="416"/>
      <c r="AP62" s="841"/>
    </row>
    <row r="63" spans="1:42" ht="20.25">
      <c r="A63" s="822">
        <v>3</v>
      </c>
      <c r="B63" s="822" t="s">
        <v>287</v>
      </c>
      <c r="C63" s="843" t="s">
        <v>553</v>
      </c>
      <c r="D63" s="844">
        <v>0</v>
      </c>
      <c r="E63" s="841">
        <v>3601</v>
      </c>
      <c r="F63" s="844">
        <v>9.47</v>
      </c>
      <c r="G63" s="844"/>
      <c r="H63" s="844"/>
      <c r="I63" s="822" t="s">
        <v>207</v>
      </c>
      <c r="J63" s="847"/>
      <c r="K63" s="845"/>
      <c r="L63" s="845">
        <f t="shared" si="4"/>
        <v>0</v>
      </c>
      <c r="M63" s="615"/>
      <c r="N63" s="848">
        <f t="shared" si="16"/>
        <v>0</v>
      </c>
      <c r="O63" s="416">
        <v>9</v>
      </c>
      <c r="P63" s="416"/>
      <c r="Q63" s="546">
        <f t="shared" si="5"/>
        <v>9</v>
      </c>
      <c r="R63" s="615">
        <v>0.1</v>
      </c>
      <c r="S63" s="845">
        <f t="shared" si="6"/>
        <v>0.9</v>
      </c>
      <c r="T63" s="848"/>
      <c r="U63" s="416"/>
      <c r="V63" s="416"/>
      <c r="W63" s="546">
        <f t="shared" si="7"/>
        <v>0</v>
      </c>
      <c r="X63" s="615">
        <v>0</v>
      </c>
      <c r="Y63" s="845">
        <f t="shared" si="8"/>
        <v>0</v>
      </c>
      <c r="Z63" s="848">
        <v>25</v>
      </c>
      <c r="AA63" s="838">
        <v>9</v>
      </c>
      <c r="AB63" s="838">
        <v>0</v>
      </c>
      <c r="AC63" s="838"/>
      <c r="AD63" s="555">
        <f t="shared" si="14"/>
        <v>9</v>
      </c>
      <c r="AE63" s="839">
        <v>0.5</v>
      </c>
      <c r="AF63" s="556">
        <f t="shared" si="1"/>
        <v>4.5</v>
      </c>
      <c r="AG63" s="555">
        <f t="shared" si="18"/>
        <v>1.3153343408629115</v>
      </c>
      <c r="AH63" s="556">
        <f t="shared" si="9"/>
        <v>1.3153343408629115</v>
      </c>
      <c r="AI63" s="561">
        <f t="shared" si="15"/>
        <v>0.14614826009587906</v>
      </c>
      <c r="AJ63" s="556"/>
      <c r="AK63" s="556"/>
      <c r="AL63" s="556">
        <f t="shared" si="10"/>
        <v>0.9</v>
      </c>
      <c r="AM63" s="840">
        <f t="shared" si="3"/>
        <v>25</v>
      </c>
      <c r="AN63" s="830"/>
      <c r="AO63" s="416"/>
      <c r="AP63" s="841"/>
    </row>
    <row r="64" spans="1:42" ht="20.25">
      <c r="A64" s="822">
        <v>3</v>
      </c>
      <c r="B64" s="822" t="s">
        <v>288</v>
      </c>
      <c r="C64" s="843" t="s">
        <v>554</v>
      </c>
      <c r="D64" s="844">
        <v>0</v>
      </c>
      <c r="E64" s="841">
        <v>3801</v>
      </c>
      <c r="F64" s="844">
        <v>29.63</v>
      </c>
      <c r="G64" s="844"/>
      <c r="H64" s="844"/>
      <c r="I64" s="822" t="s">
        <v>207</v>
      </c>
      <c r="J64" s="847"/>
      <c r="K64" s="845"/>
      <c r="L64" s="845">
        <f t="shared" si="4"/>
        <v>0</v>
      </c>
      <c r="M64" s="615"/>
      <c r="N64" s="848">
        <f t="shared" si="16"/>
        <v>0</v>
      </c>
      <c r="O64" s="416">
        <v>29</v>
      </c>
      <c r="P64" s="416"/>
      <c r="Q64" s="546">
        <f t="shared" si="5"/>
        <v>29</v>
      </c>
      <c r="R64" s="615">
        <v>0.3</v>
      </c>
      <c r="S64" s="845">
        <f t="shared" si="6"/>
        <v>8.7</v>
      </c>
      <c r="T64" s="848"/>
      <c r="U64" s="416"/>
      <c r="V64" s="416"/>
      <c r="W64" s="546">
        <f t="shared" si="7"/>
        <v>0</v>
      </c>
      <c r="X64" s="615">
        <v>0</v>
      </c>
      <c r="Y64" s="845">
        <f t="shared" si="8"/>
        <v>0</v>
      </c>
      <c r="Z64" s="848">
        <v>100</v>
      </c>
      <c r="AA64" s="838">
        <v>29</v>
      </c>
      <c r="AB64" s="838">
        <v>0</v>
      </c>
      <c r="AC64" s="838"/>
      <c r="AD64" s="555">
        <f t="shared" si="14"/>
        <v>29</v>
      </c>
      <c r="AE64" s="839">
        <v>0.5</v>
      </c>
      <c r="AF64" s="556">
        <f t="shared" si="1"/>
        <v>14.5</v>
      </c>
      <c r="AG64" s="555">
        <f t="shared" si="18"/>
        <v>4.238299542780493</v>
      </c>
      <c r="AH64" s="556">
        <f t="shared" si="9"/>
        <v>4.238299542780493</v>
      </c>
      <c r="AI64" s="561">
        <f t="shared" si="15"/>
        <v>0.14614826009587906</v>
      </c>
      <c r="AJ64" s="556"/>
      <c r="AK64" s="556"/>
      <c r="AL64" s="556">
        <f t="shared" si="10"/>
        <v>8.7</v>
      </c>
      <c r="AM64" s="840">
        <f t="shared" si="3"/>
        <v>100</v>
      </c>
      <c r="AN64" s="830"/>
      <c r="AO64" s="416"/>
      <c r="AP64" s="841"/>
    </row>
    <row r="65" spans="1:42" ht="20.25">
      <c r="A65" s="822">
        <v>3</v>
      </c>
      <c r="B65" s="822" t="s">
        <v>289</v>
      </c>
      <c r="C65" s="843" t="s">
        <v>555</v>
      </c>
      <c r="D65" s="844">
        <v>350.38390873</v>
      </c>
      <c r="E65" s="841">
        <v>3901</v>
      </c>
      <c r="F65" s="844">
        <v>375.26</v>
      </c>
      <c r="G65" s="844">
        <v>327</v>
      </c>
      <c r="H65" s="844">
        <f>+F65-D65-O65-U65</f>
        <v>24.876091270000018</v>
      </c>
      <c r="I65" s="822" t="s">
        <v>207</v>
      </c>
      <c r="J65" s="847">
        <v>24.876091270000018</v>
      </c>
      <c r="K65" s="845"/>
      <c r="L65" s="845">
        <f t="shared" si="4"/>
        <v>24.876091270000018</v>
      </c>
      <c r="M65" s="615">
        <v>0.05</v>
      </c>
      <c r="N65" s="848">
        <f t="shared" si="16"/>
        <v>1.243804563500001</v>
      </c>
      <c r="O65" s="416"/>
      <c r="P65" s="416"/>
      <c r="Q65" s="546">
        <f t="shared" si="5"/>
        <v>0</v>
      </c>
      <c r="R65" s="615"/>
      <c r="S65" s="845">
        <f t="shared" si="6"/>
        <v>0</v>
      </c>
      <c r="T65" s="848"/>
      <c r="U65" s="416"/>
      <c r="V65" s="416"/>
      <c r="W65" s="546">
        <f t="shared" si="7"/>
        <v>0</v>
      </c>
      <c r="X65" s="615">
        <v>0</v>
      </c>
      <c r="Y65" s="845">
        <f t="shared" si="8"/>
        <v>0</v>
      </c>
      <c r="Z65" s="848">
        <v>50</v>
      </c>
      <c r="AA65" s="838">
        <v>24.876091270000018</v>
      </c>
      <c r="AB65" s="838">
        <v>0</v>
      </c>
      <c r="AC65" s="838"/>
      <c r="AD65" s="555">
        <f t="shared" si="14"/>
        <v>24.876091270000018</v>
      </c>
      <c r="AE65" s="839">
        <v>0.5</v>
      </c>
      <c r="AF65" s="556">
        <f t="shared" si="1"/>
        <v>12.438045635000009</v>
      </c>
      <c r="AG65" s="555">
        <f t="shared" si="18"/>
        <v>3.635597457096789</v>
      </c>
      <c r="AH65" s="556">
        <f t="shared" si="9"/>
        <v>3.635597457096789</v>
      </c>
      <c r="AI65" s="561">
        <f t="shared" si="15"/>
        <v>0.14614826009587906</v>
      </c>
      <c r="AJ65" s="556"/>
      <c r="AK65" s="556"/>
      <c r="AL65" s="556">
        <f t="shared" si="10"/>
        <v>1.243804563500001</v>
      </c>
      <c r="AM65" s="840">
        <f t="shared" si="3"/>
        <v>50</v>
      </c>
      <c r="AN65" s="830"/>
      <c r="AO65" s="416"/>
      <c r="AP65" s="841"/>
    </row>
    <row r="66" spans="1:42" ht="20.25">
      <c r="A66" s="822">
        <v>4</v>
      </c>
      <c r="B66" s="822" t="s">
        <v>290</v>
      </c>
      <c r="C66" s="843" t="s">
        <v>556</v>
      </c>
      <c r="D66" s="844">
        <v>108.73349600000002</v>
      </c>
      <c r="E66" s="841">
        <v>4101</v>
      </c>
      <c r="F66" s="844">
        <v>363.99</v>
      </c>
      <c r="G66" s="844">
        <v>107</v>
      </c>
      <c r="H66" s="844"/>
      <c r="I66" s="822" t="s">
        <v>207</v>
      </c>
      <c r="J66" s="847"/>
      <c r="K66" s="857">
        <v>-229</v>
      </c>
      <c r="L66" s="845">
        <f t="shared" si="4"/>
        <v>-229</v>
      </c>
      <c r="M66" s="615"/>
      <c r="N66" s="848">
        <f t="shared" si="16"/>
        <v>0</v>
      </c>
      <c r="O66" s="416">
        <v>256</v>
      </c>
      <c r="P66" s="866">
        <f>-102-48</f>
        <v>-150</v>
      </c>
      <c r="Q66" s="546">
        <f t="shared" si="5"/>
        <v>106</v>
      </c>
      <c r="R66" s="615">
        <v>0.1</v>
      </c>
      <c r="S66" s="845">
        <f t="shared" si="6"/>
        <v>10.600000000000001</v>
      </c>
      <c r="T66" s="848"/>
      <c r="U66" s="416"/>
      <c r="V66" s="416"/>
      <c r="W66" s="546">
        <f t="shared" si="7"/>
        <v>0</v>
      </c>
      <c r="X66" s="615">
        <v>0</v>
      </c>
      <c r="Y66" s="845">
        <f t="shared" si="8"/>
        <v>0</v>
      </c>
      <c r="Z66" s="848">
        <v>25</v>
      </c>
      <c r="AA66" s="838">
        <v>256</v>
      </c>
      <c r="AB66" s="838">
        <v>-379</v>
      </c>
      <c r="AC66" s="838"/>
      <c r="AD66" s="555">
        <f t="shared" si="14"/>
        <v>-123</v>
      </c>
      <c r="AE66" s="839">
        <v>0</v>
      </c>
      <c r="AF66" s="556">
        <f t="shared" si="1"/>
        <v>0</v>
      </c>
      <c r="AG66" s="555">
        <f t="shared" si="18"/>
        <v>0</v>
      </c>
      <c r="AH66" s="556">
        <f t="shared" si="9"/>
        <v>0</v>
      </c>
      <c r="AI66" s="561">
        <f t="shared" si="15"/>
        <v>0</v>
      </c>
      <c r="AJ66" s="556"/>
      <c r="AK66" s="556"/>
      <c r="AL66" s="556">
        <f t="shared" si="10"/>
        <v>10.600000000000001</v>
      </c>
      <c r="AM66" s="840">
        <f t="shared" si="3"/>
        <v>25</v>
      </c>
      <c r="AN66" s="830"/>
      <c r="AO66" s="416"/>
      <c r="AP66" s="841"/>
    </row>
    <row r="67" spans="1:42" ht="20.25">
      <c r="A67" s="822">
        <v>4</v>
      </c>
      <c r="B67" s="822" t="s">
        <v>291</v>
      </c>
      <c r="C67" s="843" t="s">
        <v>557</v>
      </c>
      <c r="D67" s="844">
        <v>382.5034627</v>
      </c>
      <c r="E67" s="841">
        <v>4301</v>
      </c>
      <c r="F67" s="844">
        <v>729.11</v>
      </c>
      <c r="G67" s="844">
        <v>370</v>
      </c>
      <c r="H67" s="844"/>
      <c r="I67" s="822" t="s">
        <v>207</v>
      </c>
      <c r="J67" s="847"/>
      <c r="K67" s="845"/>
      <c r="L67" s="845">
        <f t="shared" si="4"/>
        <v>0</v>
      </c>
      <c r="M67" s="615"/>
      <c r="N67" s="848">
        <f t="shared" si="16"/>
        <v>0</v>
      </c>
      <c r="O67" s="416">
        <v>347</v>
      </c>
      <c r="P67" s="416"/>
      <c r="Q67" s="546">
        <f t="shared" si="5"/>
        <v>347</v>
      </c>
      <c r="R67" s="615">
        <v>0.1</v>
      </c>
      <c r="S67" s="845">
        <f t="shared" si="6"/>
        <v>34.7</v>
      </c>
      <c r="T67" s="848"/>
      <c r="U67" s="416"/>
      <c r="V67" s="416"/>
      <c r="W67" s="546">
        <f t="shared" si="7"/>
        <v>0</v>
      </c>
      <c r="X67" s="615">
        <v>0</v>
      </c>
      <c r="Y67" s="845">
        <f t="shared" si="8"/>
        <v>0</v>
      </c>
      <c r="Z67" s="848">
        <v>50</v>
      </c>
      <c r="AA67" s="838">
        <v>347</v>
      </c>
      <c r="AB67" s="838">
        <v>0</v>
      </c>
      <c r="AC67" s="838"/>
      <c r="AD67" s="555">
        <f t="shared" si="14"/>
        <v>347</v>
      </c>
      <c r="AE67" s="839">
        <v>0.25</v>
      </c>
      <c r="AF67" s="556">
        <f t="shared" si="1"/>
        <v>86.75</v>
      </c>
      <c r="AG67" s="555">
        <f t="shared" si="18"/>
        <v>25.356723126635018</v>
      </c>
      <c r="AH67" s="556">
        <f t="shared" si="9"/>
        <v>25.356723126635018</v>
      </c>
      <c r="AI67" s="561">
        <f t="shared" si="15"/>
        <v>0.07307413004793953</v>
      </c>
      <c r="AJ67" s="556"/>
      <c r="AK67" s="556"/>
      <c r="AL67" s="556">
        <f t="shared" si="10"/>
        <v>34.7</v>
      </c>
      <c r="AM67" s="840">
        <f t="shared" si="3"/>
        <v>50</v>
      </c>
      <c r="AN67" s="830"/>
      <c r="AO67" s="416"/>
      <c r="AP67" s="841"/>
    </row>
    <row r="68" spans="1:42" ht="20.25">
      <c r="A68" s="822">
        <v>4</v>
      </c>
      <c r="B68" s="822" t="s">
        <v>292</v>
      </c>
      <c r="C68" s="843" t="s">
        <v>558</v>
      </c>
      <c r="D68" s="844">
        <v>82.7269745</v>
      </c>
      <c r="E68" s="841">
        <v>4401</v>
      </c>
      <c r="F68" s="844">
        <v>1012.6</v>
      </c>
      <c r="G68" s="844">
        <v>81</v>
      </c>
      <c r="H68" s="844"/>
      <c r="I68" s="822" t="s">
        <v>207</v>
      </c>
      <c r="J68" s="847"/>
      <c r="K68" s="845"/>
      <c r="L68" s="845">
        <f t="shared" si="4"/>
        <v>0</v>
      </c>
      <c r="M68" s="615"/>
      <c r="N68" s="848">
        <f t="shared" si="16"/>
        <v>0</v>
      </c>
      <c r="O68" s="416">
        <v>756</v>
      </c>
      <c r="P68" s="866">
        <v>-74</v>
      </c>
      <c r="Q68" s="546">
        <f t="shared" si="5"/>
        <v>682</v>
      </c>
      <c r="R68" s="615">
        <v>0.1</v>
      </c>
      <c r="S68" s="845">
        <f t="shared" si="6"/>
        <v>68.2</v>
      </c>
      <c r="T68" s="848"/>
      <c r="U68" s="416">
        <v>173</v>
      </c>
      <c r="V68" s="416"/>
      <c r="W68" s="546">
        <f t="shared" si="7"/>
        <v>173</v>
      </c>
      <c r="X68" s="615">
        <v>0</v>
      </c>
      <c r="Y68" s="845">
        <f t="shared" si="8"/>
        <v>0</v>
      </c>
      <c r="Z68" s="848">
        <v>150</v>
      </c>
      <c r="AA68" s="838">
        <v>929</v>
      </c>
      <c r="AB68" s="838">
        <v>-74</v>
      </c>
      <c r="AC68" s="838"/>
      <c r="AD68" s="555">
        <f t="shared" si="14"/>
        <v>855</v>
      </c>
      <c r="AE68" s="839">
        <v>0.25</v>
      </c>
      <c r="AF68" s="556">
        <f t="shared" si="1"/>
        <v>213.75</v>
      </c>
      <c r="AG68" s="555">
        <f t="shared" si="18"/>
        <v>62.478381190988294</v>
      </c>
      <c r="AH68" s="556">
        <f t="shared" si="9"/>
        <v>62.478381190988294</v>
      </c>
      <c r="AI68" s="561">
        <f t="shared" si="15"/>
        <v>0.07307413004793953</v>
      </c>
      <c r="AJ68" s="556"/>
      <c r="AK68" s="556"/>
      <c r="AL68" s="556">
        <f t="shared" si="10"/>
        <v>68.2</v>
      </c>
      <c r="AM68" s="840">
        <f t="shared" si="3"/>
        <v>150</v>
      </c>
      <c r="AN68" s="830"/>
      <c r="AO68" s="416"/>
      <c r="AP68" s="841"/>
    </row>
    <row r="69" spans="1:42" ht="20.25">
      <c r="A69" s="822">
        <v>4</v>
      </c>
      <c r="B69" s="822" t="s">
        <v>293</v>
      </c>
      <c r="C69" s="843" t="s">
        <v>559</v>
      </c>
      <c r="D69" s="844">
        <v>148.23720289999997</v>
      </c>
      <c r="E69" s="841">
        <v>4501</v>
      </c>
      <c r="F69" s="844">
        <v>1076.03</v>
      </c>
      <c r="G69" s="844">
        <v>155</v>
      </c>
      <c r="H69" s="844"/>
      <c r="I69" s="822" t="s">
        <v>207</v>
      </c>
      <c r="J69" s="847"/>
      <c r="K69" s="845"/>
      <c r="L69" s="845">
        <f t="shared" si="4"/>
        <v>0</v>
      </c>
      <c r="M69" s="615"/>
      <c r="N69" s="848">
        <f t="shared" si="16"/>
        <v>0</v>
      </c>
      <c r="O69" s="416">
        <v>928</v>
      </c>
      <c r="P69" s="866">
        <v>-177</v>
      </c>
      <c r="Q69" s="546">
        <f t="shared" si="5"/>
        <v>751</v>
      </c>
      <c r="R69" s="615">
        <v>0.1</v>
      </c>
      <c r="S69" s="845">
        <f t="shared" si="6"/>
        <v>75.10000000000001</v>
      </c>
      <c r="T69" s="848"/>
      <c r="U69" s="416"/>
      <c r="V69" s="416"/>
      <c r="W69" s="546">
        <f t="shared" si="7"/>
        <v>0</v>
      </c>
      <c r="X69" s="615">
        <v>0</v>
      </c>
      <c r="Y69" s="845">
        <f t="shared" si="8"/>
        <v>0</v>
      </c>
      <c r="Z69" s="848">
        <v>150</v>
      </c>
      <c r="AA69" s="838">
        <v>928</v>
      </c>
      <c r="AB69" s="838">
        <v>-177</v>
      </c>
      <c r="AC69" s="838"/>
      <c r="AD69" s="555">
        <f t="shared" si="14"/>
        <v>751</v>
      </c>
      <c r="AE69" s="839">
        <v>0.25</v>
      </c>
      <c r="AF69" s="556">
        <f aca="true" t="shared" si="20" ref="AF69:AF97">+AE69*AD69</f>
        <v>187.75</v>
      </c>
      <c r="AG69" s="555">
        <f aca="true" t="shared" si="21" ref="AG69:AG99">+AF69*(AG$102/AF$101)</f>
        <v>54.87867166600259</v>
      </c>
      <c r="AH69" s="556">
        <f t="shared" si="9"/>
        <v>54.87867166600259</v>
      </c>
      <c r="AI69" s="561">
        <f t="shared" si="15"/>
        <v>0.07307413004793953</v>
      </c>
      <c r="AJ69" s="556"/>
      <c r="AK69" s="556"/>
      <c r="AL69" s="556">
        <f t="shared" si="10"/>
        <v>75.10000000000001</v>
      </c>
      <c r="AM69" s="840">
        <f aca="true" t="shared" si="22" ref="AM69:AM97">SUM(Z69,T69)</f>
        <v>150</v>
      </c>
      <c r="AN69" s="830"/>
      <c r="AO69" s="416"/>
      <c r="AP69" s="841"/>
    </row>
    <row r="70" spans="1:42" ht="20.25">
      <c r="A70" s="822">
        <v>4</v>
      </c>
      <c r="B70" s="822" t="s">
        <v>294</v>
      </c>
      <c r="C70" s="843" t="s">
        <v>560</v>
      </c>
      <c r="D70" s="844">
        <v>1.3</v>
      </c>
      <c r="E70" s="841">
        <v>4601</v>
      </c>
      <c r="F70" s="844">
        <v>1.28</v>
      </c>
      <c r="G70" s="844">
        <v>1.3</v>
      </c>
      <c r="H70" s="844"/>
      <c r="I70" s="822" t="s">
        <v>207</v>
      </c>
      <c r="J70" s="836"/>
      <c r="L70" s="845">
        <f aca="true" t="shared" si="23" ref="L70:L98">SUM(J70:K70)</f>
        <v>0</v>
      </c>
      <c r="N70" s="837">
        <f t="shared" si="16"/>
        <v>0</v>
      </c>
      <c r="O70" s="416"/>
      <c r="P70" s="416"/>
      <c r="Q70" s="546">
        <f aca="true" t="shared" si="24" ref="Q70:Q98">SUM(O70:P70)</f>
        <v>0</v>
      </c>
      <c r="S70" s="546">
        <f aca="true" t="shared" si="25" ref="S70:S98">Q70*R70</f>
        <v>0</v>
      </c>
      <c r="T70" s="837"/>
      <c r="U70" s="416"/>
      <c r="V70" s="416"/>
      <c r="W70" s="546">
        <f aca="true" t="shared" si="26" ref="W70:W98">SUM(U70:V70)</f>
        <v>0</v>
      </c>
      <c r="Y70" s="546">
        <f aca="true" t="shared" si="27" ref="Y70:Y98">W70*X70</f>
        <v>0</v>
      </c>
      <c r="Z70" s="837"/>
      <c r="AA70" s="838"/>
      <c r="AB70" s="838"/>
      <c r="AC70" s="838"/>
      <c r="AD70" s="555"/>
      <c r="AE70" s="839"/>
      <c r="AF70" s="556">
        <f t="shared" si="20"/>
        <v>0</v>
      </c>
      <c r="AG70" s="555">
        <f t="shared" si="21"/>
        <v>0</v>
      </c>
      <c r="AH70" s="556">
        <f aca="true" t="shared" si="28" ref="AH70:AH99">+AG70+AC70</f>
        <v>0</v>
      </c>
      <c r="AI70" s="561"/>
      <c r="AJ70" s="556"/>
      <c r="AK70" s="556"/>
      <c r="AL70" s="556">
        <f aca="true" t="shared" si="29" ref="AL70:AL99">SUM(N70:N70,S70,Y70)</f>
        <v>0</v>
      </c>
      <c r="AM70" s="840">
        <f t="shared" si="22"/>
        <v>0</v>
      </c>
      <c r="AN70" s="830"/>
      <c r="AO70" s="416"/>
      <c r="AP70" s="841"/>
    </row>
    <row r="71" spans="1:42" ht="20.25">
      <c r="A71" s="822">
        <v>5</v>
      </c>
      <c r="B71" s="822" t="s">
        <v>295</v>
      </c>
      <c r="C71" s="843" t="s">
        <v>561</v>
      </c>
      <c r="D71" s="844">
        <v>0</v>
      </c>
      <c r="E71" s="841">
        <v>5101</v>
      </c>
      <c r="F71" s="844">
        <v>150.84</v>
      </c>
      <c r="G71" s="844"/>
      <c r="H71" s="844"/>
      <c r="I71" s="822" t="s">
        <v>207</v>
      </c>
      <c r="J71" s="847"/>
      <c r="K71" s="845"/>
      <c r="L71" s="845">
        <f t="shared" si="23"/>
        <v>0</v>
      </c>
      <c r="M71" s="615"/>
      <c r="N71" s="848">
        <f t="shared" si="16"/>
        <v>0</v>
      </c>
      <c r="O71" s="416">
        <v>150</v>
      </c>
      <c r="P71" s="416"/>
      <c r="Q71" s="546">
        <f t="shared" si="24"/>
        <v>150</v>
      </c>
      <c r="R71" s="615">
        <v>0.1</v>
      </c>
      <c r="S71" s="845">
        <f t="shared" si="25"/>
        <v>15</v>
      </c>
      <c r="T71" s="848">
        <v>0</v>
      </c>
      <c r="U71" s="416"/>
      <c r="V71" s="416"/>
      <c r="W71" s="546">
        <f t="shared" si="26"/>
        <v>0</v>
      </c>
      <c r="X71" s="615">
        <v>0</v>
      </c>
      <c r="Y71" s="845">
        <f t="shared" si="27"/>
        <v>0</v>
      </c>
      <c r="Z71" s="848">
        <v>40</v>
      </c>
      <c r="AA71" s="838">
        <v>150</v>
      </c>
      <c r="AB71" s="838">
        <v>0</v>
      </c>
      <c r="AC71" s="838"/>
      <c r="AD71" s="555">
        <f t="shared" si="14"/>
        <v>150</v>
      </c>
      <c r="AE71" s="839">
        <v>0.3</v>
      </c>
      <c r="AF71" s="556">
        <f t="shared" si="20"/>
        <v>45</v>
      </c>
      <c r="AG71" s="555">
        <f t="shared" si="21"/>
        <v>13.153343408629116</v>
      </c>
      <c r="AH71" s="556">
        <f t="shared" si="28"/>
        <v>13.153343408629116</v>
      </c>
      <c r="AI71" s="561">
        <f aca="true" t="shared" si="30" ref="AI71:AI100">+AH71/AD71</f>
        <v>0.08768895605752744</v>
      </c>
      <c r="AJ71" s="556"/>
      <c r="AK71" s="556"/>
      <c r="AL71" s="556">
        <f t="shared" si="29"/>
        <v>15</v>
      </c>
      <c r="AM71" s="840">
        <f t="shared" si="22"/>
        <v>40</v>
      </c>
      <c r="AN71" s="830"/>
      <c r="AO71" s="416"/>
      <c r="AP71" s="841"/>
    </row>
    <row r="72" spans="1:42" ht="20.25">
      <c r="A72" s="822">
        <v>5</v>
      </c>
      <c r="B72" s="822" t="s">
        <v>321</v>
      </c>
      <c r="C72" s="843" t="s">
        <v>562</v>
      </c>
      <c r="D72" s="844">
        <v>0</v>
      </c>
      <c r="E72" s="841">
        <v>5201</v>
      </c>
      <c r="F72" s="844">
        <v>138.77</v>
      </c>
      <c r="G72" s="844"/>
      <c r="H72" s="844"/>
      <c r="I72" s="822" t="s">
        <v>207</v>
      </c>
      <c r="J72" s="847"/>
      <c r="K72" s="845"/>
      <c r="L72" s="845">
        <f t="shared" si="23"/>
        <v>0</v>
      </c>
      <c r="M72" s="615"/>
      <c r="N72" s="848">
        <f t="shared" si="16"/>
        <v>0</v>
      </c>
      <c r="O72" s="416">
        <v>122</v>
      </c>
      <c r="P72" s="416"/>
      <c r="Q72" s="546">
        <f t="shared" si="24"/>
        <v>122</v>
      </c>
      <c r="R72" s="615">
        <v>0.1</v>
      </c>
      <c r="S72" s="845">
        <f t="shared" si="25"/>
        <v>12.200000000000001</v>
      </c>
      <c r="T72" s="848">
        <v>0</v>
      </c>
      <c r="U72" s="416">
        <v>15</v>
      </c>
      <c r="V72" s="416"/>
      <c r="W72" s="546">
        <f t="shared" si="26"/>
        <v>15</v>
      </c>
      <c r="X72" s="615">
        <v>0</v>
      </c>
      <c r="Y72" s="845">
        <f t="shared" si="27"/>
        <v>0</v>
      </c>
      <c r="Z72" s="848">
        <v>30</v>
      </c>
      <c r="AA72" s="838">
        <v>137</v>
      </c>
      <c r="AB72" s="838">
        <v>0</v>
      </c>
      <c r="AC72" s="838"/>
      <c r="AD72" s="555">
        <f t="shared" si="14"/>
        <v>137</v>
      </c>
      <c r="AE72" s="839">
        <v>0.3</v>
      </c>
      <c r="AF72" s="556">
        <f t="shared" si="20"/>
        <v>41.1</v>
      </c>
      <c r="AG72" s="555">
        <f t="shared" si="21"/>
        <v>12.01338697988126</v>
      </c>
      <c r="AH72" s="556">
        <f t="shared" si="28"/>
        <v>12.01338697988126</v>
      </c>
      <c r="AI72" s="561">
        <f t="shared" si="30"/>
        <v>0.08768895605752744</v>
      </c>
      <c r="AJ72" s="556"/>
      <c r="AK72" s="556"/>
      <c r="AL72" s="556">
        <f t="shared" si="29"/>
        <v>12.200000000000001</v>
      </c>
      <c r="AM72" s="840">
        <f t="shared" si="22"/>
        <v>30</v>
      </c>
      <c r="AN72" s="830"/>
      <c r="AO72" s="416"/>
      <c r="AP72" s="841"/>
    </row>
    <row r="73" spans="1:42" ht="20.25">
      <c r="A73" s="822">
        <v>5</v>
      </c>
      <c r="B73" s="822" t="s">
        <v>322</v>
      </c>
      <c r="C73" s="843" t="s">
        <v>563</v>
      </c>
      <c r="D73" s="844">
        <v>0</v>
      </c>
      <c r="E73" s="841">
        <v>5301</v>
      </c>
      <c r="F73" s="844">
        <v>150.09</v>
      </c>
      <c r="G73" s="844"/>
      <c r="H73" s="844"/>
      <c r="I73" s="822" t="s">
        <v>207</v>
      </c>
      <c r="J73" s="847"/>
      <c r="K73" s="845"/>
      <c r="L73" s="845">
        <f t="shared" si="23"/>
        <v>0</v>
      </c>
      <c r="M73" s="615"/>
      <c r="N73" s="848">
        <f t="shared" si="16"/>
        <v>0</v>
      </c>
      <c r="O73" s="416">
        <v>150.1</v>
      </c>
      <c r="P73" s="416"/>
      <c r="Q73" s="546">
        <f t="shared" si="24"/>
        <v>150.1</v>
      </c>
      <c r="R73" s="615">
        <v>0.1</v>
      </c>
      <c r="S73" s="845">
        <f t="shared" si="25"/>
        <v>15.01</v>
      </c>
      <c r="T73" s="848">
        <v>0</v>
      </c>
      <c r="U73" s="416"/>
      <c r="V73" s="416"/>
      <c r="W73" s="546">
        <f t="shared" si="26"/>
        <v>0</v>
      </c>
      <c r="X73" s="615">
        <v>0</v>
      </c>
      <c r="Y73" s="845">
        <f t="shared" si="27"/>
        <v>0</v>
      </c>
      <c r="Z73" s="848">
        <v>50</v>
      </c>
      <c r="AA73" s="838">
        <v>150.1</v>
      </c>
      <c r="AB73" s="838">
        <v>0</v>
      </c>
      <c r="AC73" s="838"/>
      <c r="AD73" s="555">
        <f aca="true" t="shared" si="31" ref="AD73:AD98">SUM(AA73:AC73)</f>
        <v>150.1</v>
      </c>
      <c r="AE73" s="839">
        <v>0.3</v>
      </c>
      <c r="AF73" s="556">
        <f t="shared" si="20"/>
        <v>45.029999999999994</v>
      </c>
      <c r="AG73" s="555">
        <f t="shared" si="21"/>
        <v>13.162112304234865</v>
      </c>
      <c r="AH73" s="556">
        <f t="shared" si="28"/>
        <v>13.162112304234865</v>
      </c>
      <c r="AI73" s="561">
        <f t="shared" si="30"/>
        <v>0.08768895605752743</v>
      </c>
      <c r="AJ73" s="556"/>
      <c r="AK73" s="556"/>
      <c r="AL73" s="556">
        <f t="shared" si="29"/>
        <v>15.01</v>
      </c>
      <c r="AM73" s="840">
        <f t="shared" si="22"/>
        <v>50</v>
      </c>
      <c r="AN73" s="830"/>
      <c r="AO73" s="416"/>
      <c r="AP73" s="841"/>
    </row>
    <row r="74" spans="1:42" ht="20.25">
      <c r="A74" s="822">
        <v>5</v>
      </c>
      <c r="B74" s="822" t="s">
        <v>296</v>
      </c>
      <c r="C74" s="843" t="s">
        <v>564</v>
      </c>
      <c r="D74" s="844">
        <v>0</v>
      </c>
      <c r="E74" s="841">
        <v>5401</v>
      </c>
      <c r="F74" s="844">
        <v>82.15</v>
      </c>
      <c r="G74" s="844"/>
      <c r="H74" s="844"/>
      <c r="I74" s="822" t="s">
        <v>207</v>
      </c>
      <c r="J74" s="847"/>
      <c r="K74" s="845"/>
      <c r="L74" s="845">
        <f t="shared" si="23"/>
        <v>0</v>
      </c>
      <c r="M74" s="615"/>
      <c r="N74" s="848">
        <f aca="true" t="shared" si="32" ref="N74:N98">L74*M74</f>
        <v>0</v>
      </c>
      <c r="O74" s="416">
        <v>82</v>
      </c>
      <c r="P74" s="416"/>
      <c r="Q74" s="546">
        <f t="shared" si="24"/>
        <v>82</v>
      </c>
      <c r="R74" s="615">
        <v>0.1</v>
      </c>
      <c r="S74" s="845">
        <f t="shared" si="25"/>
        <v>8.200000000000001</v>
      </c>
      <c r="T74" s="848">
        <v>0</v>
      </c>
      <c r="U74" s="416"/>
      <c r="V74" s="416"/>
      <c r="W74" s="546">
        <f t="shared" si="26"/>
        <v>0</v>
      </c>
      <c r="X74" s="615">
        <v>0</v>
      </c>
      <c r="Y74" s="845">
        <f t="shared" si="27"/>
        <v>0</v>
      </c>
      <c r="Z74" s="848">
        <v>50</v>
      </c>
      <c r="AA74" s="838">
        <v>82</v>
      </c>
      <c r="AB74" s="838">
        <v>0</v>
      </c>
      <c r="AC74" s="838"/>
      <c r="AD74" s="555">
        <f t="shared" si="31"/>
        <v>82</v>
      </c>
      <c r="AE74" s="839">
        <v>0.3</v>
      </c>
      <c r="AF74" s="556">
        <f t="shared" si="20"/>
        <v>24.599999999999998</v>
      </c>
      <c r="AG74" s="555">
        <f t="shared" si="21"/>
        <v>7.1904943967172485</v>
      </c>
      <c r="AH74" s="556">
        <f t="shared" si="28"/>
        <v>7.1904943967172485</v>
      </c>
      <c r="AI74" s="561">
        <f t="shared" si="30"/>
        <v>0.08768895605752743</v>
      </c>
      <c r="AJ74" s="556"/>
      <c r="AK74" s="556"/>
      <c r="AL74" s="556">
        <f t="shared" si="29"/>
        <v>8.200000000000001</v>
      </c>
      <c r="AM74" s="840">
        <f t="shared" si="22"/>
        <v>50</v>
      </c>
      <c r="AN74" s="830"/>
      <c r="AO74" s="416"/>
      <c r="AP74" s="841"/>
    </row>
    <row r="75" spans="1:42" ht="20.25">
      <c r="A75" s="822">
        <v>5</v>
      </c>
      <c r="B75" s="822" t="s">
        <v>323</v>
      </c>
      <c r="C75" s="843" t="s">
        <v>565</v>
      </c>
      <c r="D75" s="844">
        <v>0</v>
      </c>
      <c r="E75" s="841">
        <v>5501</v>
      </c>
      <c r="F75" s="844">
        <v>94</v>
      </c>
      <c r="G75" s="844"/>
      <c r="H75" s="844"/>
      <c r="I75" s="822" t="s">
        <v>207</v>
      </c>
      <c r="J75" s="847"/>
      <c r="K75" s="845"/>
      <c r="L75" s="845">
        <f t="shared" si="23"/>
        <v>0</v>
      </c>
      <c r="M75" s="615"/>
      <c r="N75" s="848">
        <f t="shared" si="32"/>
        <v>0</v>
      </c>
      <c r="O75" s="416">
        <v>85</v>
      </c>
      <c r="P75" s="416"/>
      <c r="Q75" s="546">
        <f t="shared" si="24"/>
        <v>85</v>
      </c>
      <c r="R75" s="615">
        <v>0.1</v>
      </c>
      <c r="S75" s="845">
        <f t="shared" si="25"/>
        <v>8.5</v>
      </c>
      <c r="T75" s="848">
        <v>0</v>
      </c>
      <c r="U75" s="416">
        <v>8</v>
      </c>
      <c r="V75" s="416"/>
      <c r="W75" s="546">
        <f t="shared" si="26"/>
        <v>8</v>
      </c>
      <c r="X75" s="615">
        <v>0</v>
      </c>
      <c r="Y75" s="845">
        <f t="shared" si="27"/>
        <v>0</v>
      </c>
      <c r="Z75" s="848">
        <v>20</v>
      </c>
      <c r="AA75" s="838">
        <v>93</v>
      </c>
      <c r="AB75" s="838">
        <v>0</v>
      </c>
      <c r="AC75" s="838"/>
      <c r="AD75" s="555">
        <f t="shared" si="31"/>
        <v>93</v>
      </c>
      <c r="AE75" s="839">
        <v>0.3</v>
      </c>
      <c r="AF75" s="556">
        <f t="shared" si="20"/>
        <v>27.9</v>
      </c>
      <c r="AG75" s="555">
        <f t="shared" si="21"/>
        <v>8.15507291335005</v>
      </c>
      <c r="AH75" s="556">
        <f t="shared" si="28"/>
        <v>8.15507291335005</v>
      </c>
      <c r="AI75" s="561">
        <f t="shared" si="30"/>
        <v>0.08768895605752743</v>
      </c>
      <c r="AJ75" s="556"/>
      <c r="AK75" s="556"/>
      <c r="AL75" s="556">
        <f t="shared" si="29"/>
        <v>8.5</v>
      </c>
      <c r="AM75" s="840">
        <f t="shared" si="22"/>
        <v>20</v>
      </c>
      <c r="AN75" s="830"/>
      <c r="AO75" s="416"/>
      <c r="AP75" s="841"/>
    </row>
    <row r="76" spans="1:42" ht="20.25">
      <c r="A76" s="822">
        <v>5</v>
      </c>
      <c r="B76" s="822" t="s">
        <v>297</v>
      </c>
      <c r="C76" s="843" t="s">
        <v>566</v>
      </c>
      <c r="D76" s="844">
        <v>0</v>
      </c>
      <c r="E76" s="841">
        <v>5601</v>
      </c>
      <c r="F76" s="844">
        <v>129.35</v>
      </c>
      <c r="G76" s="844"/>
      <c r="H76" s="844"/>
      <c r="I76" s="822" t="s">
        <v>207</v>
      </c>
      <c r="J76" s="847"/>
      <c r="K76" s="845"/>
      <c r="L76" s="845">
        <f t="shared" si="23"/>
        <v>0</v>
      </c>
      <c r="M76" s="615"/>
      <c r="N76" s="848">
        <f t="shared" si="32"/>
        <v>0</v>
      </c>
      <c r="O76" s="416">
        <v>129</v>
      </c>
      <c r="P76" s="416"/>
      <c r="Q76" s="546">
        <f t="shared" si="24"/>
        <v>129</v>
      </c>
      <c r="R76" s="615">
        <v>0.1</v>
      </c>
      <c r="S76" s="845">
        <f t="shared" si="25"/>
        <v>12.9</v>
      </c>
      <c r="T76" s="848">
        <v>0</v>
      </c>
      <c r="U76" s="416"/>
      <c r="V76" s="416"/>
      <c r="W76" s="546">
        <f t="shared" si="26"/>
        <v>0</v>
      </c>
      <c r="X76" s="615">
        <v>0</v>
      </c>
      <c r="Y76" s="845">
        <f t="shared" si="27"/>
        <v>0</v>
      </c>
      <c r="Z76" s="848">
        <v>50</v>
      </c>
      <c r="AA76" s="838">
        <v>129</v>
      </c>
      <c r="AB76" s="838">
        <v>0</v>
      </c>
      <c r="AC76" s="838"/>
      <c r="AD76" s="555">
        <f t="shared" si="31"/>
        <v>129</v>
      </c>
      <c r="AE76" s="839">
        <v>0.3</v>
      </c>
      <c r="AF76" s="556">
        <f t="shared" si="20"/>
        <v>38.699999999999996</v>
      </c>
      <c r="AG76" s="555">
        <f t="shared" si="21"/>
        <v>11.311875331421037</v>
      </c>
      <c r="AH76" s="556">
        <f t="shared" si="28"/>
        <v>11.311875331421037</v>
      </c>
      <c r="AI76" s="561">
        <f t="shared" si="30"/>
        <v>0.08768895605752741</v>
      </c>
      <c r="AJ76" s="556"/>
      <c r="AK76" s="556"/>
      <c r="AL76" s="556">
        <f t="shared" si="29"/>
        <v>12.9</v>
      </c>
      <c r="AM76" s="840">
        <f t="shared" si="22"/>
        <v>50</v>
      </c>
      <c r="AN76" s="830"/>
      <c r="AO76" s="416"/>
      <c r="AP76" s="841"/>
    </row>
    <row r="77" spans="1:42" ht="20.25">
      <c r="A77" s="822">
        <v>5</v>
      </c>
      <c r="B77" s="822" t="s">
        <v>298</v>
      </c>
      <c r="C77" s="843" t="s">
        <v>567</v>
      </c>
      <c r="D77" s="844">
        <v>45.634260000000005</v>
      </c>
      <c r="E77" s="841">
        <v>5801</v>
      </c>
      <c r="F77" s="844">
        <v>58.2</v>
      </c>
      <c r="G77" s="844">
        <v>33</v>
      </c>
      <c r="H77" s="844"/>
      <c r="I77" s="822" t="s">
        <v>207</v>
      </c>
      <c r="J77" s="847"/>
      <c r="K77" s="845"/>
      <c r="L77" s="845">
        <f t="shared" si="23"/>
        <v>0</v>
      </c>
      <c r="M77" s="615"/>
      <c r="N77" s="848">
        <f t="shared" si="32"/>
        <v>0</v>
      </c>
      <c r="O77" s="416">
        <v>12</v>
      </c>
      <c r="P77" s="416"/>
      <c r="Q77" s="546">
        <f t="shared" si="24"/>
        <v>12</v>
      </c>
      <c r="R77" s="615">
        <v>0.1</v>
      </c>
      <c r="S77" s="845">
        <f t="shared" si="25"/>
        <v>1.2000000000000002</v>
      </c>
      <c r="T77" s="848"/>
      <c r="U77" s="416"/>
      <c r="V77" s="416"/>
      <c r="W77" s="546">
        <f t="shared" si="26"/>
        <v>0</v>
      </c>
      <c r="X77" s="615">
        <v>0</v>
      </c>
      <c r="Y77" s="845">
        <f t="shared" si="27"/>
        <v>0</v>
      </c>
      <c r="Z77" s="848">
        <v>50</v>
      </c>
      <c r="AA77" s="838">
        <v>12</v>
      </c>
      <c r="AB77" s="838">
        <v>0</v>
      </c>
      <c r="AC77" s="838"/>
      <c r="AD77" s="555">
        <f t="shared" si="31"/>
        <v>12</v>
      </c>
      <c r="AE77" s="839">
        <v>0.3</v>
      </c>
      <c r="AF77" s="556">
        <f t="shared" si="20"/>
        <v>3.5999999999999996</v>
      </c>
      <c r="AG77" s="555">
        <f t="shared" si="21"/>
        <v>1.0522674726903292</v>
      </c>
      <c r="AH77" s="556">
        <f t="shared" si="28"/>
        <v>1.0522674726903292</v>
      </c>
      <c r="AI77" s="561">
        <f t="shared" si="30"/>
        <v>0.08768895605752743</v>
      </c>
      <c r="AJ77" s="556"/>
      <c r="AK77" s="556"/>
      <c r="AL77" s="556">
        <f t="shared" si="29"/>
        <v>1.2000000000000002</v>
      </c>
      <c r="AM77" s="840">
        <f t="shared" si="22"/>
        <v>50</v>
      </c>
      <c r="AN77" s="830"/>
      <c r="AO77" s="416"/>
      <c r="AP77" s="841"/>
    </row>
    <row r="78" spans="1:42" ht="20.25">
      <c r="A78" s="822">
        <v>6</v>
      </c>
      <c r="B78" s="822" t="s">
        <v>324</v>
      </c>
      <c r="C78" s="843" t="s">
        <v>568</v>
      </c>
      <c r="D78" s="844">
        <v>0</v>
      </c>
      <c r="E78" s="841">
        <v>6101</v>
      </c>
      <c r="F78" s="844">
        <v>13.81</v>
      </c>
      <c r="G78" s="844"/>
      <c r="H78" s="844"/>
      <c r="I78" s="822" t="s">
        <v>207</v>
      </c>
      <c r="J78" s="847"/>
      <c r="K78" s="845"/>
      <c r="L78" s="845">
        <f t="shared" si="23"/>
        <v>0</v>
      </c>
      <c r="M78" s="615"/>
      <c r="N78" s="848">
        <f t="shared" si="32"/>
        <v>0</v>
      </c>
      <c r="O78" s="416">
        <v>13</v>
      </c>
      <c r="P78" s="416"/>
      <c r="Q78" s="546">
        <f t="shared" si="24"/>
        <v>13</v>
      </c>
      <c r="R78" s="615">
        <v>0.1</v>
      </c>
      <c r="S78" s="845">
        <f t="shared" si="25"/>
        <v>1.3</v>
      </c>
      <c r="T78" s="848"/>
      <c r="U78" s="416"/>
      <c r="V78" s="416"/>
      <c r="W78" s="546">
        <f t="shared" si="26"/>
        <v>0</v>
      </c>
      <c r="X78" s="615">
        <v>0</v>
      </c>
      <c r="Y78" s="845">
        <f t="shared" si="27"/>
        <v>0</v>
      </c>
      <c r="Z78" s="848">
        <v>50</v>
      </c>
      <c r="AA78" s="838">
        <v>13</v>
      </c>
      <c r="AB78" s="838">
        <v>0</v>
      </c>
      <c r="AC78" s="838"/>
      <c r="AD78" s="555">
        <f t="shared" si="31"/>
        <v>13</v>
      </c>
      <c r="AE78" s="839">
        <v>0.4</v>
      </c>
      <c r="AF78" s="556">
        <f t="shared" si="20"/>
        <v>5.2</v>
      </c>
      <c r="AG78" s="555">
        <f t="shared" si="21"/>
        <v>1.5199419049971423</v>
      </c>
      <c r="AH78" s="556">
        <f t="shared" si="28"/>
        <v>1.5199419049971423</v>
      </c>
      <c r="AI78" s="561">
        <f t="shared" si="30"/>
        <v>0.11691860807670326</v>
      </c>
      <c r="AJ78" s="556"/>
      <c r="AK78" s="556"/>
      <c r="AL78" s="556">
        <f t="shared" si="29"/>
        <v>1.3</v>
      </c>
      <c r="AM78" s="840">
        <f t="shared" si="22"/>
        <v>50</v>
      </c>
      <c r="AN78" s="830"/>
      <c r="AO78" s="416"/>
      <c r="AP78" s="841"/>
    </row>
    <row r="79" spans="1:42" ht="20.25">
      <c r="A79" s="822">
        <v>6</v>
      </c>
      <c r="B79" s="822" t="s">
        <v>299</v>
      </c>
      <c r="C79" s="843" t="s">
        <v>569</v>
      </c>
      <c r="D79" s="844">
        <v>15</v>
      </c>
      <c r="E79" s="841">
        <v>6163</v>
      </c>
      <c r="F79" s="844">
        <v>15</v>
      </c>
      <c r="G79" s="844">
        <v>15</v>
      </c>
      <c r="H79" s="844"/>
      <c r="I79" s="822" t="s">
        <v>207</v>
      </c>
      <c r="J79" s="836"/>
      <c r="L79" s="845">
        <f t="shared" si="23"/>
        <v>0</v>
      </c>
      <c r="N79" s="837">
        <f t="shared" si="32"/>
        <v>0</v>
      </c>
      <c r="O79" s="416"/>
      <c r="P79" s="416"/>
      <c r="Q79" s="546">
        <f t="shared" si="24"/>
        <v>0</v>
      </c>
      <c r="S79" s="546">
        <f t="shared" si="25"/>
        <v>0</v>
      </c>
      <c r="T79" s="837"/>
      <c r="U79" s="416"/>
      <c r="V79" s="416"/>
      <c r="W79" s="546">
        <f t="shared" si="26"/>
        <v>0</v>
      </c>
      <c r="Y79" s="546">
        <f t="shared" si="27"/>
        <v>0</v>
      </c>
      <c r="Z79" s="837"/>
      <c r="AA79" s="838"/>
      <c r="AB79" s="838"/>
      <c r="AC79" s="838"/>
      <c r="AD79" s="555"/>
      <c r="AE79" s="839"/>
      <c r="AF79" s="556">
        <f t="shared" si="20"/>
        <v>0</v>
      </c>
      <c r="AG79" s="555">
        <f t="shared" si="21"/>
        <v>0</v>
      </c>
      <c r="AH79" s="556">
        <f t="shared" si="28"/>
        <v>0</v>
      </c>
      <c r="AI79" s="561"/>
      <c r="AJ79" s="556"/>
      <c r="AK79" s="556"/>
      <c r="AL79" s="556">
        <f t="shared" si="29"/>
        <v>0</v>
      </c>
      <c r="AM79" s="840">
        <f t="shared" si="22"/>
        <v>0</v>
      </c>
      <c r="AN79" s="830"/>
      <c r="AO79" s="416"/>
      <c r="AP79" s="841"/>
    </row>
    <row r="80" spans="1:42" ht="20.25">
      <c r="A80" s="822">
        <v>6</v>
      </c>
      <c r="B80" s="822" t="s">
        <v>245</v>
      </c>
      <c r="C80" s="843" t="s">
        <v>570</v>
      </c>
      <c r="D80" s="844">
        <v>0</v>
      </c>
      <c r="E80" s="841">
        <v>6201</v>
      </c>
      <c r="F80" s="844">
        <v>456.14</v>
      </c>
      <c r="G80" s="844"/>
      <c r="H80" s="844"/>
      <c r="I80" s="822" t="s">
        <v>207</v>
      </c>
      <c r="J80" s="847"/>
      <c r="K80" s="845"/>
      <c r="L80" s="845">
        <f t="shared" si="23"/>
        <v>0</v>
      </c>
      <c r="M80" s="615"/>
      <c r="N80" s="848">
        <f t="shared" si="32"/>
        <v>0</v>
      </c>
      <c r="O80" s="416">
        <v>456</v>
      </c>
      <c r="P80" s="416"/>
      <c r="Q80" s="546">
        <f t="shared" si="24"/>
        <v>456</v>
      </c>
      <c r="R80" s="615">
        <v>0.1</v>
      </c>
      <c r="S80" s="845">
        <f t="shared" si="25"/>
        <v>45.6</v>
      </c>
      <c r="T80" s="848"/>
      <c r="U80" s="416"/>
      <c r="V80" s="416"/>
      <c r="W80" s="546">
        <f t="shared" si="26"/>
        <v>0</v>
      </c>
      <c r="X80" s="615">
        <v>0</v>
      </c>
      <c r="Y80" s="845">
        <f t="shared" si="27"/>
        <v>0</v>
      </c>
      <c r="Z80" s="848">
        <v>25</v>
      </c>
      <c r="AA80" s="838">
        <v>456</v>
      </c>
      <c r="AB80" s="838">
        <v>0</v>
      </c>
      <c r="AC80" s="838"/>
      <c r="AD80" s="555">
        <f t="shared" si="31"/>
        <v>456</v>
      </c>
      <c r="AE80" s="839">
        <v>0.5</v>
      </c>
      <c r="AF80" s="556">
        <f t="shared" si="20"/>
        <v>228</v>
      </c>
      <c r="AG80" s="555">
        <f t="shared" si="21"/>
        <v>66.64360660372085</v>
      </c>
      <c r="AH80" s="556">
        <f t="shared" si="28"/>
        <v>66.64360660372085</v>
      </c>
      <c r="AI80" s="561">
        <f t="shared" si="30"/>
        <v>0.14614826009587906</v>
      </c>
      <c r="AJ80" s="556"/>
      <c r="AK80" s="556"/>
      <c r="AL80" s="556">
        <f t="shared" si="29"/>
        <v>45.6</v>
      </c>
      <c r="AM80" s="840">
        <f t="shared" si="22"/>
        <v>25</v>
      </c>
      <c r="AN80" s="830"/>
      <c r="AO80" s="416"/>
      <c r="AP80" s="841"/>
    </row>
    <row r="81" spans="1:42" ht="20.25">
      <c r="A81" s="822">
        <v>6</v>
      </c>
      <c r="B81" s="822" t="s">
        <v>246</v>
      </c>
      <c r="C81" s="843" t="s">
        <v>571</v>
      </c>
      <c r="D81" s="844">
        <v>0</v>
      </c>
      <c r="E81" s="841">
        <v>6301</v>
      </c>
      <c r="F81" s="844">
        <v>106.9</v>
      </c>
      <c r="G81" s="844"/>
      <c r="H81" s="844"/>
      <c r="I81" s="822" t="s">
        <v>207</v>
      </c>
      <c r="J81" s="847"/>
      <c r="K81" s="845"/>
      <c r="L81" s="845">
        <f t="shared" si="23"/>
        <v>0</v>
      </c>
      <c r="M81" s="615"/>
      <c r="N81" s="848">
        <f t="shared" si="32"/>
        <v>0</v>
      </c>
      <c r="O81" s="416">
        <v>107</v>
      </c>
      <c r="P81" s="416"/>
      <c r="Q81" s="546">
        <f t="shared" si="24"/>
        <v>107</v>
      </c>
      <c r="R81" s="860">
        <v>2.5</v>
      </c>
      <c r="S81" s="857">
        <f t="shared" si="25"/>
        <v>267.5</v>
      </c>
      <c r="T81" s="857">
        <v>0</v>
      </c>
      <c r="U81" s="416"/>
      <c r="V81" s="416"/>
      <c r="W81" s="546">
        <f t="shared" si="26"/>
        <v>0</v>
      </c>
      <c r="X81" s="615">
        <v>0</v>
      </c>
      <c r="Y81" s="845">
        <f t="shared" si="27"/>
        <v>0</v>
      </c>
      <c r="Z81" s="848">
        <v>25</v>
      </c>
      <c r="AA81" s="838">
        <v>107</v>
      </c>
      <c r="AB81" s="838">
        <v>0</v>
      </c>
      <c r="AC81" s="838">
        <v>50</v>
      </c>
      <c r="AD81" s="555">
        <f t="shared" si="31"/>
        <v>157</v>
      </c>
      <c r="AE81" s="839">
        <v>0.5</v>
      </c>
      <c r="AF81" s="556">
        <f t="shared" si="20"/>
        <v>78.5</v>
      </c>
      <c r="AG81" s="555">
        <f t="shared" si="21"/>
        <v>22.94527683505301</v>
      </c>
      <c r="AH81" s="556">
        <f t="shared" si="28"/>
        <v>72.94527683505301</v>
      </c>
      <c r="AI81" s="561">
        <f t="shared" si="30"/>
        <v>0.4646195976754969</v>
      </c>
      <c r="AJ81" s="556"/>
      <c r="AK81" s="556"/>
      <c r="AL81" s="556">
        <f t="shared" si="29"/>
        <v>267.5</v>
      </c>
      <c r="AM81" s="840">
        <f t="shared" si="22"/>
        <v>25</v>
      </c>
      <c r="AN81" s="830">
        <v>314</v>
      </c>
      <c r="AO81" s="416"/>
      <c r="AP81" s="841"/>
    </row>
    <row r="82" spans="1:42" ht="20.25">
      <c r="A82" s="822">
        <v>6</v>
      </c>
      <c r="B82" s="822" t="s">
        <v>300</v>
      </c>
      <c r="C82" s="843" t="s">
        <v>572</v>
      </c>
      <c r="D82" s="844">
        <v>9.38</v>
      </c>
      <c r="E82" s="841">
        <v>6501</v>
      </c>
      <c r="F82" s="844">
        <v>9.38</v>
      </c>
      <c r="G82" s="844">
        <v>9</v>
      </c>
      <c r="H82" s="844"/>
      <c r="I82" s="822" t="s">
        <v>207</v>
      </c>
      <c r="J82" s="836"/>
      <c r="L82" s="845">
        <f t="shared" si="23"/>
        <v>0</v>
      </c>
      <c r="N82" s="837">
        <f t="shared" si="32"/>
        <v>0</v>
      </c>
      <c r="O82" s="416"/>
      <c r="P82" s="416"/>
      <c r="Q82" s="546">
        <f t="shared" si="24"/>
        <v>0</v>
      </c>
      <c r="S82" s="546">
        <f t="shared" si="25"/>
        <v>0</v>
      </c>
      <c r="T82" s="837"/>
      <c r="U82" s="416"/>
      <c r="V82" s="416"/>
      <c r="W82" s="546">
        <f t="shared" si="26"/>
        <v>0</v>
      </c>
      <c r="Y82" s="546">
        <f t="shared" si="27"/>
        <v>0</v>
      </c>
      <c r="Z82" s="837"/>
      <c r="AA82" s="838"/>
      <c r="AB82" s="838"/>
      <c r="AC82" s="838"/>
      <c r="AD82" s="555"/>
      <c r="AE82" s="839"/>
      <c r="AF82" s="556">
        <f t="shared" si="20"/>
        <v>0</v>
      </c>
      <c r="AG82" s="555">
        <f t="shared" si="21"/>
        <v>0</v>
      </c>
      <c r="AH82" s="556">
        <f t="shared" si="28"/>
        <v>0</v>
      </c>
      <c r="AI82" s="561"/>
      <c r="AJ82" s="556"/>
      <c r="AK82" s="556"/>
      <c r="AL82" s="556">
        <f t="shared" si="29"/>
        <v>0</v>
      </c>
      <c r="AM82" s="840">
        <f t="shared" si="22"/>
        <v>0</v>
      </c>
      <c r="AN82" s="830"/>
      <c r="AO82" s="416"/>
      <c r="AP82" s="841"/>
    </row>
    <row r="83" spans="1:42" ht="20.25">
      <c r="A83" s="822">
        <v>7</v>
      </c>
      <c r="B83" s="822" t="s">
        <v>301</v>
      </c>
      <c r="C83" s="843" t="s">
        <v>573</v>
      </c>
      <c r="D83" s="844">
        <v>32.64</v>
      </c>
      <c r="E83" s="841">
        <v>7101</v>
      </c>
      <c r="F83" s="844">
        <v>32.64</v>
      </c>
      <c r="G83" s="844">
        <v>33</v>
      </c>
      <c r="H83" s="844"/>
      <c r="I83" s="822" t="s">
        <v>207</v>
      </c>
      <c r="J83" s="836"/>
      <c r="L83" s="845">
        <f t="shared" si="23"/>
        <v>0</v>
      </c>
      <c r="N83" s="837">
        <f t="shared" si="32"/>
        <v>0</v>
      </c>
      <c r="O83" s="416"/>
      <c r="P83" s="416"/>
      <c r="Q83" s="546">
        <f t="shared" si="24"/>
        <v>0</v>
      </c>
      <c r="S83" s="546">
        <f t="shared" si="25"/>
        <v>0</v>
      </c>
      <c r="T83" s="837"/>
      <c r="U83" s="416"/>
      <c r="V83" s="416"/>
      <c r="W83" s="546">
        <f t="shared" si="26"/>
        <v>0</v>
      </c>
      <c r="Y83" s="546">
        <f t="shared" si="27"/>
        <v>0</v>
      </c>
      <c r="Z83" s="837"/>
      <c r="AA83" s="838"/>
      <c r="AB83" s="838"/>
      <c r="AC83" s="838"/>
      <c r="AD83" s="555"/>
      <c r="AE83" s="839"/>
      <c r="AF83" s="556">
        <f t="shared" si="20"/>
        <v>0</v>
      </c>
      <c r="AG83" s="555">
        <f t="shared" si="21"/>
        <v>0</v>
      </c>
      <c r="AH83" s="556">
        <f t="shared" si="28"/>
        <v>0</v>
      </c>
      <c r="AI83" s="561"/>
      <c r="AJ83" s="556"/>
      <c r="AK83" s="556"/>
      <c r="AL83" s="556">
        <f t="shared" si="29"/>
        <v>0</v>
      </c>
      <c r="AM83" s="840">
        <f t="shared" si="22"/>
        <v>0</v>
      </c>
      <c r="AN83" s="830"/>
      <c r="AO83" s="416"/>
      <c r="AP83" s="841"/>
    </row>
    <row r="84" spans="1:42" ht="20.25">
      <c r="A84" s="822">
        <v>7</v>
      </c>
      <c r="B84" s="822" t="s">
        <v>302</v>
      </c>
      <c r="C84" s="843" t="s">
        <v>574</v>
      </c>
      <c r="D84" s="844">
        <v>76.056394</v>
      </c>
      <c r="E84" s="841">
        <v>7301</v>
      </c>
      <c r="F84" s="844">
        <v>113.89</v>
      </c>
      <c r="G84" s="844">
        <v>76</v>
      </c>
      <c r="H84" s="844"/>
      <c r="I84" s="822" t="s">
        <v>207</v>
      </c>
      <c r="J84" s="847"/>
      <c r="K84" s="845"/>
      <c r="L84" s="845">
        <f t="shared" si="23"/>
        <v>0</v>
      </c>
      <c r="M84" s="615"/>
      <c r="N84" s="848">
        <f t="shared" si="32"/>
        <v>0</v>
      </c>
      <c r="O84" s="416">
        <v>39.3</v>
      </c>
      <c r="P84" s="416"/>
      <c r="Q84" s="546">
        <f t="shared" si="24"/>
        <v>39.3</v>
      </c>
      <c r="R84" s="615">
        <v>0.2</v>
      </c>
      <c r="S84" s="845">
        <f t="shared" si="25"/>
        <v>7.859999999999999</v>
      </c>
      <c r="T84" s="848"/>
      <c r="U84" s="416"/>
      <c r="V84" s="416"/>
      <c r="W84" s="546">
        <f t="shared" si="26"/>
        <v>0</v>
      </c>
      <c r="X84" s="615">
        <v>0</v>
      </c>
      <c r="Y84" s="845">
        <f t="shared" si="27"/>
        <v>0</v>
      </c>
      <c r="Z84" s="848">
        <v>50</v>
      </c>
      <c r="AA84" s="838">
        <v>39.3</v>
      </c>
      <c r="AB84" s="838">
        <v>0</v>
      </c>
      <c r="AC84" s="838"/>
      <c r="AD84" s="555">
        <f t="shared" si="31"/>
        <v>39.3</v>
      </c>
      <c r="AE84" s="839">
        <v>0.5</v>
      </c>
      <c r="AF84" s="556">
        <f t="shared" si="20"/>
        <v>19.65</v>
      </c>
      <c r="AG84" s="555">
        <f t="shared" si="21"/>
        <v>5.743626621768047</v>
      </c>
      <c r="AH84" s="556">
        <f t="shared" si="28"/>
        <v>5.743626621768047</v>
      </c>
      <c r="AI84" s="561">
        <f t="shared" si="30"/>
        <v>0.14614826009587906</v>
      </c>
      <c r="AJ84" s="556"/>
      <c r="AK84" s="556"/>
      <c r="AL84" s="556">
        <f t="shared" si="29"/>
        <v>7.859999999999999</v>
      </c>
      <c r="AM84" s="840">
        <f t="shared" si="22"/>
        <v>50</v>
      </c>
      <c r="AN84" s="830"/>
      <c r="AO84" s="416"/>
      <c r="AP84" s="841"/>
    </row>
    <row r="85" spans="1:42" ht="20.25">
      <c r="A85" s="822">
        <v>7</v>
      </c>
      <c r="B85" s="822" t="s">
        <v>303</v>
      </c>
      <c r="C85" s="843" t="s">
        <v>575</v>
      </c>
      <c r="D85" s="844">
        <v>833.684064</v>
      </c>
      <c r="E85" s="841">
        <v>7401</v>
      </c>
      <c r="F85" s="844">
        <v>1552</v>
      </c>
      <c r="G85" s="844">
        <v>844</v>
      </c>
      <c r="H85" s="844">
        <f>+F85-D85-O85-U85</f>
        <v>32.71593599999994</v>
      </c>
      <c r="I85" s="822" t="s">
        <v>207</v>
      </c>
      <c r="J85" s="847">
        <v>31.95593599999995</v>
      </c>
      <c r="K85" s="845"/>
      <c r="L85" s="845">
        <f t="shared" si="23"/>
        <v>31.95593599999995</v>
      </c>
      <c r="M85" s="615">
        <v>0.05</v>
      </c>
      <c r="N85" s="848">
        <f t="shared" si="32"/>
        <v>1.5977967999999976</v>
      </c>
      <c r="O85" s="416">
        <v>424.6</v>
      </c>
      <c r="P85" s="416"/>
      <c r="Q85" s="546">
        <f t="shared" si="24"/>
        <v>424.6</v>
      </c>
      <c r="R85" s="615">
        <v>0.25</v>
      </c>
      <c r="S85" s="845">
        <f t="shared" si="25"/>
        <v>106.15</v>
      </c>
      <c r="T85" s="848"/>
      <c r="U85" s="416">
        <v>261</v>
      </c>
      <c r="V85" s="416"/>
      <c r="W85" s="546">
        <f t="shared" si="26"/>
        <v>261</v>
      </c>
      <c r="X85" s="615">
        <v>0.11694870204660231</v>
      </c>
      <c r="Y85" s="845">
        <f t="shared" si="27"/>
        <v>30.5236112341632</v>
      </c>
      <c r="Z85" s="848">
        <v>100</v>
      </c>
      <c r="AA85" s="838">
        <v>717.555936</v>
      </c>
      <c r="AB85" s="838">
        <v>0</v>
      </c>
      <c r="AC85" s="838"/>
      <c r="AD85" s="555">
        <f t="shared" si="31"/>
        <v>717.555936</v>
      </c>
      <c r="AE85" s="839">
        <v>0.25</v>
      </c>
      <c r="AF85" s="556">
        <f t="shared" si="20"/>
        <v>179.388984</v>
      </c>
      <c r="AG85" s="555">
        <f t="shared" si="21"/>
        <v>52.434775783934974</v>
      </c>
      <c r="AH85" s="556">
        <f t="shared" si="28"/>
        <v>52.434775783934974</v>
      </c>
      <c r="AI85" s="561">
        <f t="shared" si="30"/>
        <v>0.07307413004793953</v>
      </c>
      <c r="AJ85" s="556"/>
      <c r="AK85" s="556"/>
      <c r="AL85" s="556">
        <f t="shared" si="29"/>
        <v>138.27140803416322</v>
      </c>
      <c r="AM85" s="840">
        <f t="shared" si="22"/>
        <v>100</v>
      </c>
      <c r="AN85" s="830"/>
      <c r="AO85" s="416"/>
      <c r="AP85" s="841"/>
    </row>
    <row r="86" spans="1:42" ht="20.25">
      <c r="A86" s="822">
        <v>7</v>
      </c>
      <c r="B86" s="822" t="s">
        <v>325</v>
      </c>
      <c r="C86" s="843" t="s">
        <v>576</v>
      </c>
      <c r="D86" s="844">
        <v>0</v>
      </c>
      <c r="E86" s="841">
        <v>7501</v>
      </c>
      <c r="F86" s="844">
        <v>589</v>
      </c>
      <c r="G86" s="844"/>
      <c r="H86" s="844"/>
      <c r="I86" s="822" t="s">
        <v>207</v>
      </c>
      <c r="J86" s="847"/>
      <c r="K86" s="845"/>
      <c r="L86" s="845">
        <f t="shared" si="23"/>
        <v>0</v>
      </c>
      <c r="M86" s="615"/>
      <c r="N86" s="848">
        <f t="shared" si="32"/>
        <v>0</v>
      </c>
      <c r="O86" s="416">
        <v>284.2</v>
      </c>
      <c r="P86" s="416"/>
      <c r="Q86" s="546">
        <f t="shared" si="24"/>
        <v>284.2</v>
      </c>
      <c r="R86" s="615">
        <v>0.35</v>
      </c>
      <c r="S86" s="845">
        <f t="shared" si="25"/>
        <v>99.46999999999998</v>
      </c>
      <c r="T86" s="848">
        <v>50</v>
      </c>
      <c r="U86" s="416">
        <v>304</v>
      </c>
      <c r="V86" s="416"/>
      <c r="W86" s="546">
        <f t="shared" si="26"/>
        <v>304</v>
      </c>
      <c r="X86" s="615">
        <f>X85</f>
        <v>0.11694870204660231</v>
      </c>
      <c r="Y86" s="845">
        <f t="shared" si="27"/>
        <v>35.5524054221671</v>
      </c>
      <c r="Z86" s="848">
        <v>100</v>
      </c>
      <c r="AA86" s="838">
        <v>588.2</v>
      </c>
      <c r="AB86" s="838">
        <v>0</v>
      </c>
      <c r="AC86" s="838"/>
      <c r="AD86" s="555">
        <f t="shared" si="31"/>
        <v>588.2</v>
      </c>
      <c r="AE86" s="839">
        <v>0.25</v>
      </c>
      <c r="AF86" s="556">
        <f t="shared" si="20"/>
        <v>147.05</v>
      </c>
      <c r="AG86" s="555">
        <f t="shared" si="21"/>
        <v>42.98220329419804</v>
      </c>
      <c r="AH86" s="556">
        <f t="shared" si="28"/>
        <v>42.98220329419804</v>
      </c>
      <c r="AI86" s="561">
        <f t="shared" si="30"/>
        <v>0.07307413004793953</v>
      </c>
      <c r="AJ86" s="556"/>
      <c r="AK86" s="556"/>
      <c r="AL86" s="556">
        <f t="shared" si="29"/>
        <v>135.02240542216708</v>
      </c>
      <c r="AM86" s="840">
        <f t="shared" si="22"/>
        <v>150</v>
      </c>
      <c r="AN86" s="830"/>
      <c r="AO86" s="416"/>
      <c r="AP86" s="841"/>
    </row>
    <row r="87" spans="1:42" ht="20.25">
      <c r="A87" s="822">
        <v>7</v>
      </c>
      <c r="B87" s="822" t="s">
        <v>326</v>
      </c>
      <c r="C87" s="843" t="s">
        <v>577</v>
      </c>
      <c r="D87" s="844">
        <v>0</v>
      </c>
      <c r="E87" s="841">
        <v>7503</v>
      </c>
      <c r="F87" s="844">
        <v>1306</v>
      </c>
      <c r="G87" s="844"/>
      <c r="H87" s="844"/>
      <c r="I87" s="822" t="s">
        <v>207</v>
      </c>
      <c r="J87" s="847"/>
      <c r="K87" s="845"/>
      <c r="L87" s="845">
        <f t="shared" si="23"/>
        <v>0</v>
      </c>
      <c r="M87" s="615"/>
      <c r="N87" s="848">
        <f t="shared" si="32"/>
        <v>0</v>
      </c>
      <c r="O87" s="416">
        <v>790</v>
      </c>
      <c r="P87" s="416"/>
      <c r="Q87" s="546">
        <f t="shared" si="24"/>
        <v>790</v>
      </c>
      <c r="R87" s="615">
        <v>0.35</v>
      </c>
      <c r="S87" s="845">
        <f t="shared" si="25"/>
        <v>276.5</v>
      </c>
      <c r="T87" s="848">
        <v>200</v>
      </c>
      <c r="U87" s="416">
        <v>504</v>
      </c>
      <c r="V87" s="416"/>
      <c r="W87" s="546">
        <f t="shared" si="26"/>
        <v>504</v>
      </c>
      <c r="X87" s="615">
        <v>0.137</v>
      </c>
      <c r="Y87" s="845">
        <f t="shared" si="27"/>
        <v>69.048</v>
      </c>
      <c r="Z87" s="848">
        <v>800</v>
      </c>
      <c r="AA87" s="838">
        <v>1294</v>
      </c>
      <c r="AB87" s="838">
        <v>0</v>
      </c>
      <c r="AC87" s="838"/>
      <c r="AD87" s="555">
        <f t="shared" si="31"/>
        <v>1294</v>
      </c>
      <c r="AE87" s="839">
        <v>1</v>
      </c>
      <c r="AF87" s="556">
        <f t="shared" si="20"/>
        <v>1294</v>
      </c>
      <c r="AG87" s="555">
        <f t="shared" si="21"/>
        <v>378.231697128135</v>
      </c>
      <c r="AH87" s="556">
        <f t="shared" si="28"/>
        <v>378.231697128135</v>
      </c>
      <c r="AI87" s="561">
        <f t="shared" si="30"/>
        <v>0.2922965201917581</v>
      </c>
      <c r="AJ87" s="556"/>
      <c r="AK87" s="556"/>
      <c r="AL87" s="556">
        <f t="shared" si="29"/>
        <v>345.548</v>
      </c>
      <c r="AM87" s="840">
        <f t="shared" si="22"/>
        <v>1000</v>
      </c>
      <c r="AN87" s="830"/>
      <c r="AO87" s="416"/>
      <c r="AP87" s="841"/>
    </row>
    <row r="88" spans="1:42" ht="20.25">
      <c r="A88" s="822">
        <v>7</v>
      </c>
      <c r="B88" s="822" t="s">
        <v>304</v>
      </c>
      <c r="C88" s="843" t="s">
        <v>578</v>
      </c>
      <c r="D88" s="844">
        <v>0</v>
      </c>
      <c r="E88" s="841">
        <v>7601</v>
      </c>
      <c r="F88" s="844">
        <v>237.65</v>
      </c>
      <c r="G88" s="844"/>
      <c r="H88" s="844"/>
      <c r="I88" s="822" t="s">
        <v>207</v>
      </c>
      <c r="J88" s="847"/>
      <c r="K88" s="845"/>
      <c r="L88" s="845">
        <f t="shared" si="23"/>
        <v>0</v>
      </c>
      <c r="M88" s="615"/>
      <c r="N88" s="848">
        <f t="shared" si="32"/>
        <v>0</v>
      </c>
      <c r="O88" s="416">
        <v>180</v>
      </c>
      <c r="P88" s="416"/>
      <c r="Q88" s="546">
        <f t="shared" si="24"/>
        <v>180</v>
      </c>
      <c r="R88" s="615">
        <v>0.35</v>
      </c>
      <c r="S88" s="845">
        <f t="shared" si="25"/>
        <v>62.99999999999999</v>
      </c>
      <c r="T88" s="848">
        <v>50</v>
      </c>
      <c r="U88" s="416">
        <v>56</v>
      </c>
      <c r="V88" s="416"/>
      <c r="W88" s="546">
        <f t="shared" si="26"/>
        <v>56</v>
      </c>
      <c r="X88" s="615">
        <f>X87</f>
        <v>0.137</v>
      </c>
      <c r="Y88" s="845">
        <f t="shared" si="27"/>
        <v>7.672000000000001</v>
      </c>
      <c r="Z88" s="848">
        <v>50</v>
      </c>
      <c r="AA88" s="838">
        <v>236</v>
      </c>
      <c r="AB88" s="838">
        <v>0</v>
      </c>
      <c r="AC88" s="838"/>
      <c r="AD88" s="555">
        <f t="shared" si="31"/>
        <v>236</v>
      </c>
      <c r="AE88" s="839">
        <v>0.5</v>
      </c>
      <c r="AF88" s="556">
        <f t="shared" si="20"/>
        <v>118</v>
      </c>
      <c r="AG88" s="555">
        <f t="shared" si="21"/>
        <v>34.490989382627454</v>
      </c>
      <c r="AH88" s="556">
        <f t="shared" si="28"/>
        <v>34.490989382627454</v>
      </c>
      <c r="AI88" s="561">
        <f t="shared" si="30"/>
        <v>0.14614826009587903</v>
      </c>
      <c r="AJ88" s="556"/>
      <c r="AK88" s="556"/>
      <c r="AL88" s="556">
        <f t="shared" si="29"/>
        <v>70.672</v>
      </c>
      <c r="AM88" s="840">
        <f t="shared" si="22"/>
        <v>100</v>
      </c>
      <c r="AN88" s="830"/>
      <c r="AO88" s="416"/>
      <c r="AP88" s="841"/>
    </row>
    <row r="89" spans="1:42" ht="20.25">
      <c r="A89" s="822">
        <v>8</v>
      </c>
      <c r="B89" s="822" t="s">
        <v>247</v>
      </c>
      <c r="C89" s="843" t="s">
        <v>579</v>
      </c>
      <c r="D89" s="844">
        <v>2663.53316324</v>
      </c>
      <c r="E89" s="841">
        <v>8101</v>
      </c>
      <c r="F89" s="844">
        <v>3836</v>
      </c>
      <c r="G89" s="844">
        <v>2639</v>
      </c>
      <c r="H89" s="844">
        <f aca="true" t="shared" si="33" ref="H89:H94">+F89-D89-O89-U89</f>
        <v>534.9668367600002</v>
      </c>
      <c r="I89" s="822" t="s">
        <v>207</v>
      </c>
      <c r="J89" s="847">
        <v>532.5368367600004</v>
      </c>
      <c r="K89" s="857">
        <v>-70</v>
      </c>
      <c r="L89" s="845">
        <f t="shared" si="23"/>
        <v>462.53683676000037</v>
      </c>
      <c r="M89" s="615">
        <v>0.05</v>
      </c>
      <c r="N89" s="848">
        <f t="shared" si="32"/>
        <v>23.12684183800002</v>
      </c>
      <c r="O89" s="416">
        <v>553</v>
      </c>
      <c r="P89" s="866">
        <v>-101</v>
      </c>
      <c r="Q89" s="546">
        <f t="shared" si="24"/>
        <v>452</v>
      </c>
      <c r="R89" s="615">
        <v>0.1</v>
      </c>
      <c r="S89" s="845">
        <f t="shared" si="25"/>
        <v>45.2</v>
      </c>
      <c r="T89" s="848"/>
      <c r="U89" s="416">
        <v>84.5</v>
      </c>
      <c r="V89" s="416"/>
      <c r="W89" s="546">
        <f t="shared" si="26"/>
        <v>84.5</v>
      </c>
      <c r="X89" s="615">
        <v>0</v>
      </c>
      <c r="Y89" s="845">
        <f t="shared" si="27"/>
        <v>0</v>
      </c>
      <c r="Z89" s="848">
        <v>50</v>
      </c>
      <c r="AA89" s="838">
        <v>1170.0368367600004</v>
      </c>
      <c r="AB89" s="838">
        <v>-171</v>
      </c>
      <c r="AC89" s="838"/>
      <c r="AD89" s="555">
        <f t="shared" si="31"/>
        <v>999.0368367600004</v>
      </c>
      <c r="AE89" s="839">
        <v>0.1</v>
      </c>
      <c r="AF89" s="556">
        <f t="shared" si="20"/>
        <v>99.90368367600004</v>
      </c>
      <c r="AG89" s="555">
        <f t="shared" si="21"/>
        <v>29.20149909283296</v>
      </c>
      <c r="AH89" s="556">
        <f t="shared" si="28"/>
        <v>29.20149909283296</v>
      </c>
      <c r="AI89" s="561">
        <f t="shared" si="30"/>
        <v>0.029229652019175812</v>
      </c>
      <c r="AJ89" s="556"/>
      <c r="AK89" s="556"/>
      <c r="AL89" s="556">
        <f t="shared" si="29"/>
        <v>68.32684183800002</v>
      </c>
      <c r="AM89" s="840">
        <f t="shared" si="22"/>
        <v>50</v>
      </c>
      <c r="AN89" s="830"/>
      <c r="AO89" s="416"/>
      <c r="AP89" s="841"/>
    </row>
    <row r="90" spans="1:42" ht="20.25">
      <c r="A90" s="822">
        <v>8</v>
      </c>
      <c r="B90" s="822" t="s">
        <v>305</v>
      </c>
      <c r="C90" s="843" t="s">
        <v>580</v>
      </c>
      <c r="D90" s="844">
        <v>443.02118686161043</v>
      </c>
      <c r="E90" s="841">
        <v>8102</v>
      </c>
      <c r="F90" s="844">
        <v>532.35</v>
      </c>
      <c r="G90" s="844">
        <v>466</v>
      </c>
      <c r="H90" s="844">
        <f t="shared" si="33"/>
        <v>53.32881313838959</v>
      </c>
      <c r="I90" s="822" t="s">
        <v>207</v>
      </c>
      <c r="J90" s="847">
        <v>52.62881313838959</v>
      </c>
      <c r="K90" s="845"/>
      <c r="L90" s="845">
        <f t="shared" si="23"/>
        <v>52.62881313838959</v>
      </c>
      <c r="M90" s="615">
        <v>0.05</v>
      </c>
      <c r="N90" s="848">
        <f t="shared" si="32"/>
        <v>2.6314406569194797</v>
      </c>
      <c r="O90" s="416">
        <v>36</v>
      </c>
      <c r="P90" s="416"/>
      <c r="Q90" s="546">
        <f t="shared" si="24"/>
        <v>36</v>
      </c>
      <c r="R90" s="615">
        <v>0.1</v>
      </c>
      <c r="S90" s="845">
        <f t="shared" si="25"/>
        <v>3.6</v>
      </c>
      <c r="T90" s="848"/>
      <c r="U90" s="416"/>
      <c r="V90" s="416"/>
      <c r="W90" s="546">
        <f t="shared" si="26"/>
        <v>0</v>
      </c>
      <c r="X90" s="615">
        <v>0</v>
      </c>
      <c r="Y90" s="845">
        <f t="shared" si="27"/>
        <v>0</v>
      </c>
      <c r="Z90" s="848">
        <v>0</v>
      </c>
      <c r="AA90" s="838">
        <v>88.62881313838959</v>
      </c>
      <c r="AB90" s="838">
        <v>0</v>
      </c>
      <c r="AC90" s="838"/>
      <c r="AD90" s="555">
        <f t="shared" si="31"/>
        <v>88.62881313838959</v>
      </c>
      <c r="AE90" s="839">
        <v>0.1</v>
      </c>
      <c r="AF90" s="556">
        <f t="shared" si="20"/>
        <v>8.86288131383896</v>
      </c>
      <c r="AG90" s="555">
        <f t="shared" si="21"/>
        <v>2.590589366907685</v>
      </c>
      <c r="AH90" s="556">
        <f t="shared" si="28"/>
        <v>2.590589366907685</v>
      </c>
      <c r="AI90" s="561">
        <f t="shared" si="30"/>
        <v>0.029229652019175816</v>
      </c>
      <c r="AJ90" s="556"/>
      <c r="AK90" s="556"/>
      <c r="AL90" s="556">
        <f t="shared" si="29"/>
        <v>6.23144065691948</v>
      </c>
      <c r="AM90" s="840">
        <f t="shared" si="22"/>
        <v>0</v>
      </c>
      <c r="AN90" s="830"/>
      <c r="AO90" s="416"/>
      <c r="AP90" s="841"/>
    </row>
    <row r="91" spans="1:42" ht="20.25">
      <c r="A91" s="822">
        <v>8</v>
      </c>
      <c r="B91" s="822" t="s">
        <v>248</v>
      </c>
      <c r="C91" s="843" t="s">
        <v>581</v>
      </c>
      <c r="D91" s="844">
        <v>2366.49803556</v>
      </c>
      <c r="E91" s="841">
        <v>8202</v>
      </c>
      <c r="F91" s="844">
        <v>3091</v>
      </c>
      <c r="G91" s="844">
        <v>2382</v>
      </c>
      <c r="H91" s="844">
        <f t="shared" si="33"/>
        <v>417.50196443999994</v>
      </c>
      <c r="I91" s="822" t="s">
        <v>207</v>
      </c>
      <c r="J91" s="847">
        <v>414.5919644399998</v>
      </c>
      <c r="K91" s="859">
        <v>151</v>
      </c>
      <c r="L91" s="845">
        <f t="shared" si="23"/>
        <v>565.5919644399999</v>
      </c>
      <c r="M91" s="615">
        <v>0.2</v>
      </c>
      <c r="N91" s="845">
        <f t="shared" si="32"/>
        <v>113.11839288799997</v>
      </c>
      <c r="O91" s="867">
        <v>246</v>
      </c>
      <c r="P91" s="858"/>
      <c r="Q91" s="546">
        <f t="shared" si="24"/>
        <v>246</v>
      </c>
      <c r="R91" s="860">
        <v>1.55</v>
      </c>
      <c r="S91" s="857">
        <f t="shared" si="25"/>
        <v>381.3</v>
      </c>
      <c r="T91" s="857">
        <v>415</v>
      </c>
      <c r="U91" s="416">
        <v>61</v>
      </c>
      <c r="V91" s="416"/>
      <c r="W91" s="546">
        <f t="shared" si="26"/>
        <v>61</v>
      </c>
      <c r="X91" s="615">
        <v>0</v>
      </c>
      <c r="Y91" s="845">
        <f t="shared" si="27"/>
        <v>0</v>
      </c>
      <c r="Z91" s="848">
        <v>50</v>
      </c>
      <c r="AA91" s="838">
        <v>721.5919644399999</v>
      </c>
      <c r="AB91" s="838">
        <v>151</v>
      </c>
      <c r="AC91" s="838"/>
      <c r="AD91" s="555">
        <f t="shared" si="31"/>
        <v>872.5919644399999</v>
      </c>
      <c r="AE91" s="839">
        <v>0.2</v>
      </c>
      <c r="AF91" s="556">
        <f t="shared" si="20"/>
        <v>174.518392888</v>
      </c>
      <c r="AG91" s="555">
        <f t="shared" si="21"/>
        <v>51.011118950620464</v>
      </c>
      <c r="AH91" s="556">
        <f t="shared" si="28"/>
        <v>51.011118950620464</v>
      </c>
      <c r="AI91" s="561">
        <f t="shared" si="30"/>
        <v>0.05845930403835163</v>
      </c>
      <c r="AJ91" s="556"/>
      <c r="AK91" s="556"/>
      <c r="AL91" s="868">
        <f t="shared" si="29"/>
        <v>494.41839288799997</v>
      </c>
      <c r="AM91" s="840">
        <f t="shared" si="22"/>
        <v>465</v>
      </c>
      <c r="AN91" s="869"/>
      <c r="AO91" s="416"/>
      <c r="AP91" s="841"/>
    </row>
    <row r="92" spans="1:42" ht="20.25">
      <c r="A92" s="822">
        <v>8</v>
      </c>
      <c r="B92" s="822" t="s">
        <v>306</v>
      </c>
      <c r="C92" s="843" t="s">
        <v>582</v>
      </c>
      <c r="D92" s="844">
        <v>883.5801663599999</v>
      </c>
      <c r="E92" s="841">
        <v>8203</v>
      </c>
      <c r="F92" s="844">
        <v>1037</v>
      </c>
      <c r="G92" s="844">
        <v>889</v>
      </c>
      <c r="H92" s="844">
        <f t="shared" si="33"/>
        <v>153.4198336400001</v>
      </c>
      <c r="I92" s="822" t="s">
        <v>207</v>
      </c>
      <c r="J92" s="847">
        <v>152.62983364000013</v>
      </c>
      <c r="K92" s="870"/>
      <c r="L92" s="845">
        <f t="shared" si="23"/>
        <v>152.62983364000013</v>
      </c>
      <c r="M92" s="615">
        <v>0.1</v>
      </c>
      <c r="N92" s="848">
        <f t="shared" si="32"/>
        <v>15.262983364000014</v>
      </c>
      <c r="O92" s="416"/>
      <c r="P92" s="416"/>
      <c r="Q92" s="546">
        <f t="shared" si="24"/>
        <v>0</v>
      </c>
      <c r="R92" s="615"/>
      <c r="S92" s="845">
        <f t="shared" si="25"/>
        <v>0</v>
      </c>
      <c r="T92" s="848">
        <v>200</v>
      </c>
      <c r="U92" s="416"/>
      <c r="V92" s="416"/>
      <c r="W92" s="546">
        <f t="shared" si="26"/>
        <v>0</v>
      </c>
      <c r="X92" s="615">
        <v>0</v>
      </c>
      <c r="Y92" s="845">
        <f t="shared" si="27"/>
        <v>0</v>
      </c>
      <c r="Z92" s="848">
        <v>50</v>
      </c>
      <c r="AA92" s="838">
        <v>152.62983364000013</v>
      </c>
      <c r="AB92" s="838">
        <v>0</v>
      </c>
      <c r="AC92" s="838">
        <v>690</v>
      </c>
      <c r="AD92" s="555">
        <f t="shared" si="31"/>
        <v>842.6298336400001</v>
      </c>
      <c r="AE92" s="839">
        <v>0.4</v>
      </c>
      <c r="AF92" s="556">
        <f t="shared" si="20"/>
        <v>337.0519334560001</v>
      </c>
      <c r="AG92" s="555">
        <f t="shared" si="21"/>
        <v>98.51910727309284</v>
      </c>
      <c r="AH92" s="556">
        <f t="shared" si="28"/>
        <v>788.5191072730928</v>
      </c>
      <c r="AI92" s="561">
        <f t="shared" si="30"/>
        <v>0.9357835146506037</v>
      </c>
      <c r="AJ92" s="556"/>
      <c r="AK92" s="556"/>
      <c r="AL92" s="871">
        <f t="shared" si="29"/>
        <v>15.262983364000014</v>
      </c>
      <c r="AM92" s="840">
        <f t="shared" si="22"/>
        <v>250</v>
      </c>
      <c r="AN92" s="872">
        <v>690</v>
      </c>
      <c r="AO92" s="416"/>
      <c r="AP92" s="841"/>
    </row>
    <row r="93" spans="1:42" ht="20.25">
      <c r="A93" s="822">
        <v>8</v>
      </c>
      <c r="B93" s="822" t="s">
        <v>307</v>
      </c>
      <c r="C93" s="843" t="s">
        <v>583</v>
      </c>
      <c r="D93" s="844">
        <v>1012.0585562099998</v>
      </c>
      <c r="E93" s="841">
        <v>8204</v>
      </c>
      <c r="F93" s="844">
        <v>1216.11</v>
      </c>
      <c r="G93" s="844">
        <v>1061</v>
      </c>
      <c r="H93" s="844">
        <f t="shared" si="33"/>
        <v>204.05144379000012</v>
      </c>
      <c r="I93" s="822" t="s">
        <v>207</v>
      </c>
      <c r="J93" s="847">
        <v>204.05144379000012</v>
      </c>
      <c r="K93" s="862"/>
      <c r="L93" s="845">
        <f t="shared" si="23"/>
        <v>204.05144379000012</v>
      </c>
      <c r="M93" s="615">
        <v>0.1</v>
      </c>
      <c r="N93" s="848">
        <f t="shared" si="32"/>
        <v>20.405144379000014</v>
      </c>
      <c r="O93" s="416"/>
      <c r="P93" s="416"/>
      <c r="Q93" s="546">
        <f t="shared" si="24"/>
        <v>0</v>
      </c>
      <c r="R93" s="615"/>
      <c r="S93" s="845">
        <f t="shared" si="25"/>
        <v>0</v>
      </c>
      <c r="T93" s="848">
        <v>200</v>
      </c>
      <c r="U93" s="416"/>
      <c r="V93" s="416"/>
      <c r="W93" s="546">
        <f t="shared" si="26"/>
        <v>0</v>
      </c>
      <c r="X93" s="615">
        <v>0</v>
      </c>
      <c r="Y93" s="845">
        <f t="shared" si="27"/>
        <v>0</v>
      </c>
      <c r="Z93" s="848">
        <v>50</v>
      </c>
      <c r="AA93" s="838">
        <v>204.05144379000012</v>
      </c>
      <c r="AB93" s="838">
        <v>0</v>
      </c>
      <c r="AC93" s="838"/>
      <c r="AD93" s="555">
        <f t="shared" si="31"/>
        <v>204.05144379000012</v>
      </c>
      <c r="AE93" s="839">
        <v>0.4</v>
      </c>
      <c r="AF93" s="556">
        <f t="shared" si="20"/>
        <v>81.62057751600005</v>
      </c>
      <c r="AG93" s="555">
        <f t="shared" si="21"/>
        <v>23.85741078396847</v>
      </c>
      <c r="AH93" s="556">
        <f t="shared" si="28"/>
        <v>23.85741078396847</v>
      </c>
      <c r="AI93" s="561">
        <f t="shared" si="30"/>
        <v>0.11691860807670326</v>
      </c>
      <c r="AJ93" s="556"/>
      <c r="AK93" s="556"/>
      <c r="AL93" s="873">
        <f t="shared" si="29"/>
        <v>20.405144379000014</v>
      </c>
      <c r="AM93" s="840">
        <f t="shared" si="22"/>
        <v>250</v>
      </c>
      <c r="AN93" s="874"/>
      <c r="AO93" s="416"/>
      <c r="AP93" s="841"/>
    </row>
    <row r="94" spans="1:42" ht="20.25">
      <c r="A94" s="822">
        <v>8</v>
      </c>
      <c r="B94" s="822" t="s">
        <v>308</v>
      </c>
      <c r="C94" s="843" t="s">
        <v>584</v>
      </c>
      <c r="D94" s="844">
        <v>243.96596282</v>
      </c>
      <c r="E94" s="841">
        <v>8205</v>
      </c>
      <c r="F94" s="844">
        <v>301</v>
      </c>
      <c r="G94" s="844">
        <v>242</v>
      </c>
      <c r="H94" s="844">
        <f t="shared" si="33"/>
        <v>26.034037180000013</v>
      </c>
      <c r="I94" s="822" t="s">
        <v>207</v>
      </c>
      <c r="J94" s="847">
        <v>25.58403717999999</v>
      </c>
      <c r="K94" s="845"/>
      <c r="L94" s="845">
        <f t="shared" si="23"/>
        <v>25.58403717999999</v>
      </c>
      <c r="M94" s="615">
        <v>0.1</v>
      </c>
      <c r="N94" s="848">
        <f t="shared" si="32"/>
        <v>2.558403717999999</v>
      </c>
      <c r="O94" s="416">
        <v>31</v>
      </c>
      <c r="P94" s="416"/>
      <c r="Q94" s="546">
        <f t="shared" si="24"/>
        <v>31</v>
      </c>
      <c r="R94" s="615">
        <v>0.2</v>
      </c>
      <c r="S94" s="845">
        <f t="shared" si="25"/>
        <v>6.2</v>
      </c>
      <c r="T94" s="848"/>
      <c r="U94" s="416"/>
      <c r="V94" s="416"/>
      <c r="W94" s="546">
        <f t="shared" si="26"/>
        <v>0</v>
      </c>
      <c r="X94" s="615">
        <v>0</v>
      </c>
      <c r="Y94" s="845">
        <f t="shared" si="27"/>
        <v>0</v>
      </c>
      <c r="Z94" s="848">
        <v>50</v>
      </c>
      <c r="AA94" s="838">
        <v>56.58403717999999</v>
      </c>
      <c r="AB94" s="838">
        <v>0</v>
      </c>
      <c r="AC94" s="838"/>
      <c r="AD94" s="555">
        <f t="shared" si="31"/>
        <v>56.58403717999999</v>
      </c>
      <c r="AE94" s="839">
        <v>0.4</v>
      </c>
      <c r="AF94" s="556">
        <f t="shared" si="20"/>
        <v>22.633614871999995</v>
      </c>
      <c r="AG94" s="555">
        <f t="shared" si="21"/>
        <v>6.615726866446024</v>
      </c>
      <c r="AH94" s="556">
        <f t="shared" si="28"/>
        <v>6.615726866446024</v>
      </c>
      <c r="AI94" s="561">
        <f t="shared" si="30"/>
        <v>0.11691860807670325</v>
      </c>
      <c r="AJ94" s="556"/>
      <c r="AK94" s="556"/>
      <c r="AL94" s="556">
        <f t="shared" si="29"/>
        <v>8.758403718</v>
      </c>
      <c r="AM94" s="840">
        <f t="shared" si="22"/>
        <v>50</v>
      </c>
      <c r="AN94" s="830"/>
      <c r="AO94" s="416"/>
      <c r="AP94" s="841"/>
    </row>
    <row r="95" spans="1:42" ht="20.25">
      <c r="A95" s="822">
        <v>8</v>
      </c>
      <c r="B95" s="822" t="s">
        <v>309</v>
      </c>
      <c r="C95" s="843" t="s">
        <v>585</v>
      </c>
      <c r="D95" s="844">
        <v>324.6062</v>
      </c>
      <c r="E95" s="841">
        <v>8401</v>
      </c>
      <c r="F95" s="844">
        <v>324.61</v>
      </c>
      <c r="G95" s="844">
        <v>324</v>
      </c>
      <c r="H95" s="844"/>
      <c r="I95" s="822" t="s">
        <v>207</v>
      </c>
      <c r="J95" s="836"/>
      <c r="L95" s="845">
        <f t="shared" si="23"/>
        <v>0</v>
      </c>
      <c r="N95" s="837">
        <f t="shared" si="32"/>
        <v>0</v>
      </c>
      <c r="O95" s="416"/>
      <c r="P95" s="416"/>
      <c r="Q95" s="546">
        <f t="shared" si="24"/>
        <v>0</v>
      </c>
      <c r="S95" s="546">
        <f t="shared" si="25"/>
        <v>0</v>
      </c>
      <c r="T95" s="837"/>
      <c r="U95" s="416"/>
      <c r="V95" s="416"/>
      <c r="W95" s="546">
        <f t="shared" si="26"/>
        <v>0</v>
      </c>
      <c r="Y95" s="546">
        <f t="shared" si="27"/>
        <v>0</v>
      </c>
      <c r="Z95" s="837"/>
      <c r="AA95" s="838"/>
      <c r="AB95" s="838"/>
      <c r="AC95" s="838"/>
      <c r="AD95" s="555"/>
      <c r="AE95" s="839"/>
      <c r="AF95" s="556">
        <f t="shared" si="20"/>
        <v>0</v>
      </c>
      <c r="AG95" s="555">
        <f t="shared" si="21"/>
        <v>0</v>
      </c>
      <c r="AH95" s="556">
        <f t="shared" si="28"/>
        <v>0</v>
      </c>
      <c r="AI95" s="561"/>
      <c r="AJ95" s="556"/>
      <c r="AK95" s="556"/>
      <c r="AL95" s="556">
        <f t="shared" si="29"/>
        <v>0</v>
      </c>
      <c r="AM95" s="840">
        <f t="shared" si="22"/>
        <v>0</v>
      </c>
      <c r="AN95" s="830"/>
      <c r="AO95" s="416"/>
      <c r="AP95" s="841"/>
    </row>
    <row r="96" spans="1:42" ht="20.25">
      <c r="A96" s="822">
        <v>8</v>
      </c>
      <c r="B96" s="822" t="s">
        <v>310</v>
      </c>
      <c r="C96" s="843" t="s">
        <v>586</v>
      </c>
      <c r="D96" s="844">
        <v>146.466</v>
      </c>
      <c r="E96" s="841">
        <v>8402</v>
      </c>
      <c r="F96" s="844">
        <v>146.44</v>
      </c>
      <c r="G96" s="844">
        <v>146</v>
      </c>
      <c r="H96" s="844"/>
      <c r="I96" s="822" t="s">
        <v>207</v>
      </c>
      <c r="J96" s="836"/>
      <c r="L96" s="845">
        <f t="shared" si="23"/>
        <v>0</v>
      </c>
      <c r="N96" s="837">
        <f t="shared" si="32"/>
        <v>0</v>
      </c>
      <c r="O96" s="416"/>
      <c r="P96" s="416"/>
      <c r="Q96" s="546">
        <f t="shared" si="24"/>
        <v>0</v>
      </c>
      <c r="S96" s="546">
        <f t="shared" si="25"/>
        <v>0</v>
      </c>
      <c r="T96" s="837"/>
      <c r="U96" s="416"/>
      <c r="V96" s="416"/>
      <c r="W96" s="546">
        <f t="shared" si="26"/>
        <v>0</v>
      </c>
      <c r="Y96" s="546">
        <f t="shared" si="27"/>
        <v>0</v>
      </c>
      <c r="Z96" s="837"/>
      <c r="AA96" s="838"/>
      <c r="AB96" s="838"/>
      <c r="AC96" s="838"/>
      <c r="AD96" s="555"/>
      <c r="AE96" s="839"/>
      <c r="AF96" s="556">
        <f t="shared" si="20"/>
        <v>0</v>
      </c>
      <c r="AG96" s="555">
        <f t="shared" si="21"/>
        <v>0</v>
      </c>
      <c r="AH96" s="556">
        <f t="shared" si="28"/>
        <v>0</v>
      </c>
      <c r="AI96" s="561"/>
      <c r="AJ96" s="556"/>
      <c r="AK96" s="556"/>
      <c r="AL96" s="556">
        <f t="shared" si="29"/>
        <v>0</v>
      </c>
      <c r="AM96" s="840">
        <f t="shared" si="22"/>
        <v>0</v>
      </c>
      <c r="AN96" s="830"/>
      <c r="AO96" s="416"/>
      <c r="AP96" s="841"/>
    </row>
    <row r="97" spans="1:42" ht="20.25">
      <c r="A97" s="822">
        <v>8</v>
      </c>
      <c r="B97" s="822" t="s">
        <v>311</v>
      </c>
      <c r="C97" s="843" t="s">
        <v>587</v>
      </c>
      <c r="D97" s="844">
        <v>0</v>
      </c>
      <c r="E97" s="841">
        <v>8501</v>
      </c>
      <c r="F97" s="844">
        <v>814</v>
      </c>
      <c r="G97" s="844"/>
      <c r="H97" s="844"/>
      <c r="I97" s="822" t="s">
        <v>207</v>
      </c>
      <c r="J97" s="847"/>
      <c r="K97" s="845"/>
      <c r="L97" s="845">
        <f t="shared" si="23"/>
        <v>0</v>
      </c>
      <c r="M97" s="615"/>
      <c r="N97" s="848">
        <f t="shared" si="32"/>
        <v>0</v>
      </c>
      <c r="O97" s="416">
        <v>224</v>
      </c>
      <c r="P97" s="416"/>
      <c r="Q97" s="546">
        <f t="shared" si="24"/>
        <v>224</v>
      </c>
      <c r="R97" s="615">
        <v>0.3</v>
      </c>
      <c r="S97" s="845">
        <f t="shared" si="25"/>
        <v>67.2</v>
      </c>
      <c r="T97" s="848"/>
      <c r="U97" s="416">
        <v>588</v>
      </c>
      <c r="V97" s="416"/>
      <c r="W97" s="546">
        <f t="shared" si="26"/>
        <v>588</v>
      </c>
      <c r="X97" s="615">
        <v>0</v>
      </c>
      <c r="Y97" s="845">
        <f t="shared" si="27"/>
        <v>0</v>
      </c>
      <c r="Z97" s="848">
        <v>250</v>
      </c>
      <c r="AA97" s="838">
        <v>812</v>
      </c>
      <c r="AB97" s="838">
        <v>0</v>
      </c>
      <c r="AC97" s="838"/>
      <c r="AD97" s="555">
        <f t="shared" si="31"/>
        <v>812</v>
      </c>
      <c r="AE97" s="839">
        <v>0.5</v>
      </c>
      <c r="AF97" s="556">
        <f t="shared" si="20"/>
        <v>406</v>
      </c>
      <c r="AG97" s="555">
        <f t="shared" si="21"/>
        <v>118.6723871978538</v>
      </c>
      <c r="AH97" s="556">
        <f t="shared" si="28"/>
        <v>118.6723871978538</v>
      </c>
      <c r="AI97" s="561">
        <f t="shared" si="30"/>
        <v>0.14614826009587906</v>
      </c>
      <c r="AJ97" s="556"/>
      <c r="AK97" s="556"/>
      <c r="AL97" s="556">
        <f t="shared" si="29"/>
        <v>67.2</v>
      </c>
      <c r="AM97" s="840">
        <f t="shared" si="22"/>
        <v>250</v>
      </c>
      <c r="AN97" s="830"/>
      <c r="AO97" s="416"/>
      <c r="AP97" s="841"/>
    </row>
    <row r="98" spans="1:42" ht="20.25">
      <c r="A98" s="822">
        <v>8</v>
      </c>
      <c r="B98" s="822" t="s">
        <v>249</v>
      </c>
      <c r="C98" s="843" t="s">
        <v>588</v>
      </c>
      <c r="D98" s="844">
        <v>1260.21258992</v>
      </c>
      <c r="E98" s="841">
        <v>8998</v>
      </c>
      <c r="F98" s="844">
        <v>1704</v>
      </c>
      <c r="G98" s="844">
        <v>1257</v>
      </c>
      <c r="H98" s="844">
        <f>+F98-D98-O98-U98</f>
        <v>276.08741008</v>
      </c>
      <c r="I98" s="822" t="s">
        <v>207</v>
      </c>
      <c r="J98" s="847">
        <v>275.58741008</v>
      </c>
      <c r="K98" s="857">
        <v>-391</v>
      </c>
      <c r="L98" s="845">
        <f t="shared" si="23"/>
        <v>-115.41258992000002</v>
      </c>
      <c r="M98" s="615">
        <v>0.05</v>
      </c>
      <c r="N98" s="848">
        <f t="shared" si="32"/>
        <v>-5.7706294960000015</v>
      </c>
      <c r="O98" s="416">
        <v>167.7</v>
      </c>
      <c r="P98" s="416"/>
      <c r="Q98" s="546">
        <f t="shared" si="24"/>
        <v>167.7</v>
      </c>
      <c r="R98" s="615">
        <v>0.1</v>
      </c>
      <c r="S98" s="845">
        <f t="shared" si="25"/>
        <v>16.77</v>
      </c>
      <c r="T98" s="848"/>
      <c r="U98" s="416"/>
      <c r="V98" s="416"/>
      <c r="W98" s="546">
        <f t="shared" si="26"/>
        <v>0</v>
      </c>
      <c r="X98" s="615">
        <v>0</v>
      </c>
      <c r="Y98" s="845">
        <f t="shared" si="27"/>
        <v>0</v>
      </c>
      <c r="Z98" s="848">
        <v>10</v>
      </c>
      <c r="AA98" s="838">
        <v>443.28741008</v>
      </c>
      <c r="AB98" s="838">
        <v>-391</v>
      </c>
      <c r="AC98" s="838"/>
      <c r="AD98" s="555">
        <f t="shared" si="31"/>
        <v>52.28741007999997</v>
      </c>
      <c r="AE98" s="839">
        <v>0.25</v>
      </c>
      <c r="AF98" s="556">
        <f>+AE98*AD98</f>
        <v>13.071852519999993</v>
      </c>
      <c r="AG98" s="555">
        <f t="shared" si="21"/>
        <v>3.820857004055862</v>
      </c>
      <c r="AH98" s="556">
        <f t="shared" si="28"/>
        <v>3.820857004055862</v>
      </c>
      <c r="AI98" s="561">
        <f t="shared" si="30"/>
        <v>0.07307413004793953</v>
      </c>
      <c r="AJ98" s="556"/>
      <c r="AK98" s="556"/>
      <c r="AL98" s="556">
        <f t="shared" si="29"/>
        <v>10.999370503999998</v>
      </c>
      <c r="AM98" s="840">
        <f>SUM(Z98,T98)</f>
        <v>10</v>
      </c>
      <c r="AN98" s="830"/>
      <c r="AO98" s="416"/>
      <c r="AP98" s="841"/>
    </row>
    <row r="99" spans="1:42" s="858" customFormat="1" ht="20.25">
      <c r="A99" s="831" t="s">
        <v>90</v>
      </c>
      <c r="B99" s="831" t="s">
        <v>312</v>
      </c>
      <c r="C99" s="831"/>
      <c r="D99" s="831"/>
      <c r="E99" s="831"/>
      <c r="F99" s="831">
        <v>6627</v>
      </c>
      <c r="G99" s="831"/>
      <c r="I99" s="831"/>
      <c r="J99" s="875">
        <v>1828</v>
      </c>
      <c r="K99" s="865"/>
      <c r="L99" s="865"/>
      <c r="M99" s="860"/>
      <c r="N99" s="876"/>
      <c r="O99" s="831">
        <v>3075</v>
      </c>
      <c r="P99" s="667"/>
      <c r="Q99" s="667"/>
      <c r="R99" s="860"/>
      <c r="T99" s="876"/>
      <c r="U99" s="831">
        <v>132</v>
      </c>
      <c r="V99" s="667"/>
      <c r="W99" s="667"/>
      <c r="X99" s="860"/>
      <c r="Z99" s="876"/>
      <c r="AA99" s="838"/>
      <c r="AB99" s="838"/>
      <c r="AC99" s="838"/>
      <c r="AD99" s="555"/>
      <c r="AE99" s="839"/>
      <c r="AF99" s="556">
        <f>SUM(AL99:AM99)</f>
        <v>0</v>
      </c>
      <c r="AG99" s="555">
        <f t="shared" si="21"/>
        <v>0</v>
      </c>
      <c r="AH99" s="556">
        <f t="shared" si="28"/>
        <v>0</v>
      </c>
      <c r="AI99" s="561"/>
      <c r="AJ99" s="556"/>
      <c r="AK99" s="556"/>
      <c r="AL99" s="555">
        <f t="shared" si="29"/>
        <v>0</v>
      </c>
      <c r="AM99" s="877"/>
      <c r="AN99" s="830"/>
      <c r="AO99" s="667"/>
      <c r="AP99" s="878"/>
    </row>
    <row r="100" spans="1:44" ht="20.25">
      <c r="A100" s="822"/>
      <c r="B100" s="822"/>
      <c r="C100" s="822"/>
      <c r="D100" s="822"/>
      <c r="E100" s="822"/>
      <c r="F100" s="879">
        <f>SUM(F5:F99)</f>
        <v>92401.15999999999</v>
      </c>
      <c r="G100" s="879">
        <f>SUM(G5:G99)</f>
        <v>60347.3</v>
      </c>
      <c r="H100" s="879"/>
      <c r="I100" s="879"/>
      <c r="J100" s="880"/>
      <c r="K100" s="881"/>
      <c r="L100" s="881"/>
      <c r="M100" s="881"/>
      <c r="N100" s="882"/>
      <c r="O100" s="879"/>
      <c r="P100" s="879"/>
      <c r="Q100" s="879"/>
      <c r="R100" s="881"/>
      <c r="S100" s="881"/>
      <c r="T100" s="882"/>
      <c r="U100" s="879"/>
      <c r="V100" s="879"/>
      <c r="W100" s="879"/>
      <c r="X100" s="881"/>
      <c r="Y100" s="881"/>
      <c r="Z100" s="882"/>
      <c r="AA100" s="879"/>
      <c r="AB100" s="879"/>
      <c r="AC100" s="879"/>
      <c r="AD100" s="879">
        <f>SUM(AD5:AD99)</f>
        <v>28058.315095217415</v>
      </c>
      <c r="AE100" s="883"/>
      <c r="AF100" s="879"/>
      <c r="AG100" s="879">
        <f>SUM(AG5:AG99)</f>
        <v>3999.3847366772175</v>
      </c>
      <c r="AH100" s="879">
        <f>SUM(AH5:AH99)</f>
        <v>4989.384736677217</v>
      </c>
      <c r="AI100" s="879">
        <f t="shared" si="30"/>
        <v>0.17782196542256615</v>
      </c>
      <c r="AJ100" s="556"/>
      <c r="AK100" s="556"/>
      <c r="AL100" s="556"/>
      <c r="AM100" s="559"/>
      <c r="AN100" s="830"/>
      <c r="AO100" s="884"/>
      <c r="AP100" s="822"/>
      <c r="AR100" s="885">
        <f>SUM(F100,G100,AD100,AH100)</f>
        <v>185796.15983189462</v>
      </c>
    </row>
    <row r="101" spans="1:42" ht="20.25">
      <c r="A101" s="822"/>
      <c r="B101" s="886"/>
      <c r="C101" s="886"/>
      <c r="D101" s="886"/>
      <c r="E101" s="886"/>
      <c r="F101" s="886">
        <f>SUM(AH100,AD100,G100)</f>
        <v>93394.99983189463</v>
      </c>
      <c r="G101" s="886"/>
      <c r="H101" s="887">
        <f>SUM(H6:H98)</f>
        <v>11944.225095217416</v>
      </c>
      <c r="I101" s="886"/>
      <c r="J101" s="888">
        <f>SUM(J5:J98)</f>
        <v>11920.815095217418</v>
      </c>
      <c r="K101" s="889">
        <f aca="true" t="shared" si="34" ref="K101:AN101">SUM(K5:K99)</f>
        <v>427</v>
      </c>
      <c r="L101" s="890">
        <f t="shared" si="34"/>
        <v>12347.815095217418</v>
      </c>
      <c r="M101" s="891">
        <f>+N101/L101</f>
        <v>0.11271005512221592</v>
      </c>
      <c r="N101" s="892">
        <f t="shared" si="34"/>
        <v>1391.722920020885</v>
      </c>
      <c r="O101" s="886">
        <f>SUM(O5:O98)</f>
        <v>12856.600000000002</v>
      </c>
      <c r="P101" s="892">
        <f t="shared" si="34"/>
        <v>-415.7</v>
      </c>
      <c r="Q101" s="886">
        <f t="shared" si="34"/>
        <v>12440.900000000001</v>
      </c>
      <c r="R101" s="891">
        <f>S101/(O101-O99)</f>
        <v>0.3532004784493334</v>
      </c>
      <c r="S101" s="893">
        <f t="shared" si="34"/>
        <v>3454.8658</v>
      </c>
      <c r="T101" s="894">
        <f t="shared" si="34"/>
        <v>2705</v>
      </c>
      <c r="U101" s="886">
        <f>SUM(U5:U98)</f>
        <v>2291.1</v>
      </c>
      <c r="V101" s="892">
        <f t="shared" si="34"/>
        <v>-11.5</v>
      </c>
      <c r="W101" s="886">
        <f t="shared" si="34"/>
        <v>2279.6</v>
      </c>
      <c r="X101" s="891">
        <f>Y101/(U101-U99)</f>
        <v>0.06613682398051517</v>
      </c>
      <c r="Y101" s="893">
        <f t="shared" si="34"/>
        <v>142.7960166563303</v>
      </c>
      <c r="Z101" s="894">
        <f t="shared" si="34"/>
        <v>3900.0225</v>
      </c>
      <c r="AA101" s="830">
        <f>SUM(AA5:AA98)</f>
        <v>27068.51509521742</v>
      </c>
      <c r="AB101" s="895">
        <f t="shared" si="34"/>
        <v>-0.20000000000004547</v>
      </c>
      <c r="AC101" s="830">
        <f t="shared" si="34"/>
        <v>990</v>
      </c>
      <c r="AE101" s="839">
        <f>+AF101/AD100</f>
        <v>0.4876496891266158</v>
      </c>
      <c r="AF101" s="830">
        <f t="shared" si="34"/>
        <v>13682.628633599405</v>
      </c>
      <c r="AI101" s="561"/>
      <c r="AJ101" s="557"/>
      <c r="AK101" s="557"/>
      <c r="AL101" s="557">
        <f t="shared" si="34"/>
        <v>4989.384736677215</v>
      </c>
      <c r="AM101" s="896">
        <f t="shared" si="34"/>
        <v>6605.0225</v>
      </c>
      <c r="AN101" s="830">
        <f t="shared" si="34"/>
        <v>2342</v>
      </c>
      <c r="AO101" s="897">
        <f>SUM(AN101,AM101,AL101,AD100)+2889</f>
        <v>44883.72233189463</v>
      </c>
      <c r="AP101" s="822"/>
    </row>
    <row r="102" spans="1:42" ht="20.25">
      <c r="A102" s="822"/>
      <c r="B102" s="886"/>
      <c r="C102" s="886"/>
      <c r="D102" s="886"/>
      <c r="E102" s="886"/>
      <c r="F102" s="886"/>
      <c r="G102" s="886"/>
      <c r="H102" s="886"/>
      <c r="I102" s="886"/>
      <c r="J102" s="886">
        <f>SUM(J5:J98)</f>
        <v>11920.815095217418</v>
      </c>
      <c r="K102" s="886"/>
      <c r="L102" s="886"/>
      <c r="M102" s="898"/>
      <c r="N102" s="899">
        <f>SUM(K101,N101)</f>
        <v>1818.722920020885</v>
      </c>
      <c r="O102" s="886"/>
      <c r="P102" s="886"/>
      <c r="Q102" s="886"/>
      <c r="R102" s="886"/>
      <c r="S102" s="899">
        <f>SUM(P101,S101)</f>
        <v>3039.1658</v>
      </c>
      <c r="T102" s="890"/>
      <c r="U102" s="886"/>
      <c r="V102" s="886"/>
      <c r="W102" s="886"/>
      <c r="X102" s="886"/>
      <c r="Y102" s="899">
        <f>SUM(V101,Y101)</f>
        <v>131.2960166563303</v>
      </c>
      <c r="Z102" s="890"/>
      <c r="AA102" s="895">
        <f>SUM(AA5:AA98)</f>
        <v>27068.51509521742</v>
      </c>
      <c r="AB102" s="895"/>
      <c r="AC102" s="895"/>
      <c r="AD102" s="557"/>
      <c r="AE102" s="900"/>
      <c r="AG102" s="557">
        <f>+AA103-AC101</f>
        <v>3999.384736677216</v>
      </c>
      <c r="AH102" s="557"/>
      <c r="AI102" s="557"/>
      <c r="AJ102" s="557"/>
      <c r="AK102" s="557"/>
      <c r="AL102" s="557">
        <f>SUM(N102,S102,Y102)</f>
        <v>4989.184736677216</v>
      </c>
      <c r="AM102" s="559"/>
      <c r="AN102" s="830"/>
      <c r="AO102" s="822"/>
      <c r="AP102" s="822"/>
    </row>
    <row r="103" spans="1:42" ht="20.25">
      <c r="A103" s="822"/>
      <c r="B103" s="886"/>
      <c r="C103" s="886"/>
      <c r="D103" s="886"/>
      <c r="E103" s="886"/>
      <c r="F103" s="886"/>
      <c r="G103" s="886"/>
      <c r="H103" s="886"/>
      <c r="I103" s="886"/>
      <c r="J103" s="886">
        <f>SUM(J5:J99)</f>
        <v>13748.815095217418</v>
      </c>
      <c r="K103" s="901"/>
      <c r="L103" s="886"/>
      <c r="M103" s="898"/>
      <c r="O103" s="886"/>
      <c r="P103" s="886"/>
      <c r="Q103" s="886"/>
      <c r="R103" s="886"/>
      <c r="S103" s="886"/>
      <c r="T103" s="890"/>
      <c r="U103" s="822"/>
      <c r="V103" s="822"/>
      <c r="W103" s="822"/>
      <c r="X103" s="886"/>
      <c r="Z103" s="902" t="s">
        <v>331</v>
      </c>
      <c r="AA103" s="903">
        <v>4989.384736677216</v>
      </c>
      <c r="AB103" s="904">
        <f>+AA103/AA102</f>
        <v>0.18432428668976977</v>
      </c>
      <c r="AC103" s="904"/>
      <c r="AD103" s="558"/>
      <c r="AE103" s="905"/>
      <c r="AF103" s="558"/>
      <c r="AG103" s="558"/>
      <c r="AH103" s="558"/>
      <c r="AI103" s="558"/>
      <c r="AJ103" s="558"/>
      <c r="AK103" s="558"/>
      <c r="AL103" s="558"/>
      <c r="AM103" s="906"/>
      <c r="AN103" s="830"/>
      <c r="AO103" s="907">
        <f>SUM(AA101,AA103)+60269+75</f>
        <v>92401.89983189464</v>
      </c>
      <c r="AP103" s="822"/>
    </row>
    <row r="104" spans="1:42" ht="20.25">
      <c r="A104" s="822"/>
      <c r="B104" s="822"/>
      <c r="C104" s="822"/>
      <c r="D104" s="822"/>
      <c r="E104" s="822"/>
      <c r="F104" s="822"/>
      <c r="G104" s="822"/>
      <c r="H104" s="822"/>
      <c r="I104" s="822"/>
      <c r="J104" s="908"/>
      <c r="K104" s="909" t="s">
        <v>594</v>
      </c>
      <c r="L104" s="886">
        <v>2889</v>
      </c>
      <c r="M104" s="898"/>
      <c r="N104" s="910"/>
      <c r="O104" s="822"/>
      <c r="P104" s="822"/>
      <c r="Q104" s="822"/>
      <c r="R104" s="822"/>
      <c r="S104" s="822"/>
      <c r="T104" s="911"/>
      <c r="U104" s="822"/>
      <c r="V104" s="822"/>
      <c r="W104" s="822"/>
      <c r="X104" s="822"/>
      <c r="Z104" s="912" t="s">
        <v>596</v>
      </c>
      <c r="AA104" s="913">
        <v>11594.407236677216</v>
      </c>
      <c r="AB104" s="914">
        <f>+AA104/AA101</f>
        <v>0.4283355476239539</v>
      </c>
      <c r="AC104" s="915"/>
      <c r="AD104" s="559"/>
      <c r="AE104" s="916" t="s">
        <v>659</v>
      </c>
      <c r="AF104" s="917">
        <f>60269+75+AD100+AF101</f>
        <v>102084.94372881683</v>
      </c>
      <c r="AG104" s="559"/>
      <c r="AH104" s="559"/>
      <c r="AI104" s="559"/>
      <c r="AJ104" s="559"/>
      <c r="AK104" s="559"/>
      <c r="AL104" s="559"/>
      <c r="AM104" s="559"/>
      <c r="AN104" s="830"/>
      <c r="AO104" s="907">
        <f>SUM(AO103,AM101)</f>
        <v>99006.92233189465</v>
      </c>
      <c r="AP104" s="822"/>
    </row>
    <row r="105" spans="1:42" ht="20.25">
      <c r="A105" s="822"/>
      <c r="B105" s="822"/>
      <c r="C105" s="822"/>
      <c r="D105" s="822"/>
      <c r="E105" s="822"/>
      <c r="F105" s="822"/>
      <c r="G105" s="822"/>
      <c r="H105" s="822"/>
      <c r="I105" s="822"/>
      <c r="J105" s="908"/>
      <c r="K105" s="918" t="s">
        <v>593</v>
      </c>
      <c r="L105" s="886">
        <f>SUM(L104,L101,N101)</f>
        <v>16628.538015238304</v>
      </c>
      <c r="M105" s="898"/>
      <c r="N105" s="822"/>
      <c r="O105" s="822"/>
      <c r="P105" s="822"/>
      <c r="Q105" s="919">
        <f>SUM(Q101,S101)</f>
        <v>15895.765800000001</v>
      </c>
      <c r="R105" s="822"/>
      <c r="S105" s="822"/>
      <c r="T105" s="911"/>
      <c r="U105" s="822"/>
      <c r="V105" s="822"/>
      <c r="W105" s="822"/>
      <c r="X105" s="822"/>
      <c r="Y105" s="822"/>
      <c r="Z105" s="911"/>
      <c r="AD105" s="559"/>
      <c r="AE105" s="916" t="s">
        <v>659</v>
      </c>
      <c r="AF105" s="917">
        <f>60289+75+AD100+AG102</f>
        <v>92421.69983189463</v>
      </c>
      <c r="AG105" s="559"/>
      <c r="AH105" s="559"/>
      <c r="AI105" s="559"/>
      <c r="AJ105" s="559"/>
      <c r="AK105" s="559"/>
      <c r="AL105" s="559"/>
      <c r="AM105" s="559"/>
      <c r="AN105" s="830"/>
      <c r="AO105" s="822"/>
      <c r="AP105" s="822"/>
    </row>
    <row r="106" spans="1:42" ht="20.25">
      <c r="A106" s="822"/>
      <c r="B106" s="822"/>
      <c r="C106" s="822"/>
      <c r="D106" s="822"/>
      <c r="E106" s="822"/>
      <c r="F106" s="822"/>
      <c r="G106" s="822"/>
      <c r="H106" s="822"/>
      <c r="I106" s="822"/>
      <c r="J106" s="908"/>
      <c r="K106" s="909" t="s">
        <v>592</v>
      </c>
      <c r="L106" s="886">
        <v>16771</v>
      </c>
      <c r="M106" s="898"/>
      <c r="N106" s="822"/>
      <c r="O106" s="822"/>
      <c r="P106" s="822"/>
      <c r="Q106" s="822">
        <v>15900</v>
      </c>
      <c r="R106" s="822"/>
      <c r="S106" s="822"/>
      <c r="T106" s="911"/>
      <c r="U106" s="822"/>
      <c r="V106" s="822"/>
      <c r="W106" s="822"/>
      <c r="X106" s="822"/>
      <c r="Y106" s="822"/>
      <c r="Z106" s="911"/>
      <c r="AA106" s="921">
        <v>4989</v>
      </c>
      <c r="AB106" s="921"/>
      <c r="AC106" s="921"/>
      <c r="AD106" s="559"/>
      <c r="AE106" s="916"/>
      <c r="AF106" s="559"/>
      <c r="AG106" s="559"/>
      <c r="AH106" s="559"/>
      <c r="AI106" s="559"/>
      <c r="AJ106" s="559"/>
      <c r="AK106" s="559"/>
      <c r="AL106" s="559"/>
      <c r="AM106" s="559"/>
      <c r="AN106" s="830"/>
      <c r="AO106" s="822"/>
      <c r="AP106" s="822"/>
    </row>
    <row r="107" spans="1:42" ht="20.25">
      <c r="A107" s="822"/>
      <c r="B107" s="822"/>
      <c r="C107" s="822"/>
      <c r="D107" s="822"/>
      <c r="E107" s="822"/>
      <c r="F107" s="822"/>
      <c r="G107" s="822"/>
      <c r="H107" s="822"/>
      <c r="I107" s="822"/>
      <c r="J107" s="922"/>
      <c r="K107" s="918" t="s">
        <v>595</v>
      </c>
      <c r="L107" s="886">
        <f>+L106-L105</f>
        <v>142.46198476169593</v>
      </c>
      <c r="M107" s="898"/>
      <c r="N107" s="822"/>
      <c r="O107" s="822"/>
      <c r="P107" s="822"/>
      <c r="Q107" s="886">
        <f>+Q106-Q105</f>
        <v>4.234199999998964</v>
      </c>
      <c r="R107" s="822"/>
      <c r="S107" s="822"/>
      <c r="T107" s="911"/>
      <c r="U107" s="822"/>
      <c r="V107" s="822"/>
      <c r="W107" s="822"/>
      <c r="X107" s="822"/>
      <c r="Y107" s="822"/>
      <c r="Z107" s="911"/>
      <c r="AA107" s="923">
        <f>+AA103-AA106</f>
        <v>0.3847366772160967</v>
      </c>
      <c r="AB107" s="921"/>
      <c r="AC107" s="921"/>
      <c r="AD107" s="559"/>
      <c r="AE107" s="916"/>
      <c r="AF107" s="559"/>
      <c r="AG107" s="559"/>
      <c r="AH107" s="559"/>
      <c r="AI107" s="559"/>
      <c r="AJ107" s="559"/>
      <c r="AK107" s="559"/>
      <c r="AL107" s="559"/>
      <c r="AM107" s="559"/>
      <c r="AN107" s="830"/>
      <c r="AO107" s="822"/>
      <c r="AP107" s="822"/>
    </row>
    <row r="108" spans="1:42" ht="21" thickBot="1">
      <c r="A108" s="822"/>
      <c r="B108" s="822"/>
      <c r="C108" s="822"/>
      <c r="D108" s="822"/>
      <c r="E108" s="822"/>
      <c r="F108" s="822"/>
      <c r="G108" s="822"/>
      <c r="H108" s="822"/>
      <c r="I108" s="822"/>
      <c r="J108" s="822"/>
      <c r="K108" s="912"/>
      <c r="L108" s="822"/>
      <c r="M108" s="898"/>
      <c r="N108" s="822"/>
      <c r="O108" s="822"/>
      <c r="P108" s="822"/>
      <c r="Q108" s="822"/>
      <c r="R108" s="822"/>
      <c r="S108" s="822"/>
      <c r="T108" s="911"/>
      <c r="U108" s="822"/>
      <c r="V108" s="822"/>
      <c r="W108" s="822"/>
      <c r="X108" s="822"/>
      <c r="Y108" s="822"/>
      <c r="Z108" s="911"/>
      <c r="AA108" s="921"/>
      <c r="AB108" s="921"/>
      <c r="AC108" s="921"/>
      <c r="AD108" s="559"/>
      <c r="AE108" s="916"/>
      <c r="AF108" s="559"/>
      <c r="AG108" s="559"/>
      <c r="AH108" s="559"/>
      <c r="AI108" s="559"/>
      <c r="AJ108" s="559"/>
      <c r="AK108" s="559"/>
      <c r="AL108" s="559"/>
      <c r="AM108" s="559"/>
      <c r="AN108" s="924"/>
      <c r="AO108" s="416"/>
      <c r="AP108" s="416"/>
    </row>
    <row r="109" spans="1:42" ht="20.25">
      <c r="A109" s="831"/>
      <c r="B109" s="831">
        <f>SUM(J22:J43)</f>
        <v>5410.913316599027</v>
      </c>
      <c r="C109" s="831"/>
      <c r="D109" s="831"/>
      <c r="E109" s="831"/>
      <c r="F109" s="831"/>
      <c r="G109" s="831"/>
      <c r="H109" s="831"/>
      <c r="I109" s="831"/>
      <c r="J109" s="779" t="s">
        <v>92</v>
      </c>
      <c r="K109" s="560"/>
      <c r="L109" s="560"/>
      <c r="M109" s="780"/>
      <c r="N109" s="780"/>
      <c r="O109" s="779" t="s">
        <v>93</v>
      </c>
      <c r="P109" s="560"/>
      <c r="Q109" s="560"/>
      <c r="R109" s="781"/>
      <c r="S109" s="782"/>
      <c r="T109" s="783"/>
      <c r="U109" s="779" t="s">
        <v>94</v>
      </c>
      <c r="V109" s="560"/>
      <c r="W109" s="560"/>
      <c r="X109" s="781"/>
      <c r="Y109" s="782"/>
      <c r="Z109" s="783"/>
      <c r="AA109" s="925" t="s">
        <v>95</v>
      </c>
      <c r="AB109" s="926"/>
      <c r="AC109" s="926"/>
      <c r="AD109" s="560"/>
      <c r="AE109" s="927"/>
      <c r="AF109" s="560"/>
      <c r="AG109" s="560"/>
      <c r="AH109" s="560"/>
      <c r="AI109" s="560"/>
      <c r="AJ109" s="560"/>
      <c r="AK109" s="560"/>
      <c r="AL109" s="560"/>
      <c r="AM109" s="792"/>
      <c r="AN109" s="924"/>
      <c r="AO109" s="416"/>
      <c r="AP109" s="416"/>
    </row>
    <row r="110" spans="1:42" ht="91.5" thickBot="1">
      <c r="A110" s="822"/>
      <c r="B110" s="884">
        <f>SUM(J113)</f>
        <v>5410.913316599027</v>
      </c>
      <c r="C110" s="884"/>
      <c r="D110" s="884"/>
      <c r="E110" s="884"/>
      <c r="F110" s="884"/>
      <c r="G110" s="884"/>
      <c r="H110" s="884"/>
      <c r="I110" s="822"/>
      <c r="J110" s="928" t="s">
        <v>228</v>
      </c>
      <c r="K110" s="929" t="s">
        <v>250</v>
      </c>
      <c r="L110" s="929" t="s">
        <v>251</v>
      </c>
      <c r="M110" s="809" t="s">
        <v>328</v>
      </c>
      <c r="N110" s="810" t="s">
        <v>329</v>
      </c>
      <c r="O110" s="928" t="s">
        <v>228</v>
      </c>
      <c r="P110" s="929" t="s">
        <v>250</v>
      </c>
      <c r="Q110" s="929" t="s">
        <v>251</v>
      </c>
      <c r="R110" s="809" t="s">
        <v>328</v>
      </c>
      <c r="S110" s="810" t="s">
        <v>329</v>
      </c>
      <c r="T110" s="812" t="s">
        <v>330</v>
      </c>
      <c r="U110" s="928" t="s">
        <v>228</v>
      </c>
      <c r="V110" s="929" t="s">
        <v>250</v>
      </c>
      <c r="W110" s="929" t="s">
        <v>251</v>
      </c>
      <c r="X110" s="809" t="s">
        <v>328</v>
      </c>
      <c r="Y110" s="810" t="s">
        <v>329</v>
      </c>
      <c r="Z110" s="812" t="s">
        <v>330</v>
      </c>
      <c r="AA110" s="930" t="s">
        <v>228</v>
      </c>
      <c r="AB110" s="931" t="s">
        <v>250</v>
      </c>
      <c r="AC110" s="931"/>
      <c r="AD110" s="932" t="s">
        <v>251</v>
      </c>
      <c r="AE110" s="818" t="s">
        <v>328</v>
      </c>
      <c r="AF110" s="552"/>
      <c r="AG110" s="552"/>
      <c r="AH110" s="552"/>
      <c r="AI110" s="552"/>
      <c r="AJ110" s="552"/>
      <c r="AK110" s="552"/>
      <c r="AL110" s="813" t="s">
        <v>329</v>
      </c>
      <c r="AM110" s="812" t="s">
        <v>330</v>
      </c>
      <c r="AN110" s="924"/>
      <c r="AO110" s="416"/>
      <c r="AP110" s="416"/>
    </row>
    <row r="111" spans="1:42" ht="20.25">
      <c r="A111" s="822">
        <v>12</v>
      </c>
      <c r="B111" s="822" t="s">
        <v>332</v>
      </c>
      <c r="C111" s="822"/>
      <c r="D111" s="822"/>
      <c r="E111" s="822"/>
      <c r="F111" s="822"/>
      <c r="G111" s="822"/>
      <c r="H111" s="822"/>
      <c r="I111" s="822"/>
      <c r="J111" s="933">
        <f>SUM(J6:J11)</f>
        <v>116.73726113000004</v>
      </c>
      <c r="K111" s="933">
        <f>SUM(K6:K11)</f>
        <v>0</v>
      </c>
      <c r="L111" s="933">
        <f>SUM(L6:L11)</f>
        <v>116.73726113000004</v>
      </c>
      <c r="M111" s="891">
        <f>N111/J111</f>
        <v>0.15</v>
      </c>
      <c r="N111" s="934">
        <f>SUM(N6:N11)</f>
        <v>17.510589169500005</v>
      </c>
      <c r="O111" s="933">
        <f>SUM(O6:O11)</f>
        <v>244</v>
      </c>
      <c r="P111" s="933">
        <f>SUM(P6:P11)</f>
        <v>0</v>
      </c>
      <c r="Q111" s="933">
        <f>SUM(Q6:Q11)</f>
        <v>244</v>
      </c>
      <c r="R111" s="891">
        <f>S111/O111</f>
        <v>0.15</v>
      </c>
      <c r="S111" s="935">
        <f>SUM(S6:S11)</f>
        <v>36.6</v>
      </c>
      <c r="T111" s="934">
        <f>SUM(T6:T11)</f>
        <v>0</v>
      </c>
      <c r="U111" s="933">
        <f>SUM(U6:U11)</f>
        <v>0</v>
      </c>
      <c r="V111" s="933">
        <f>SUM(V6:V11)</f>
        <v>0</v>
      </c>
      <c r="W111" s="933">
        <f>SUM(W6:W11)</f>
        <v>0</v>
      </c>
      <c r="X111" s="891"/>
      <c r="Y111" s="935">
        <f>SUM(Y6:Y11)</f>
        <v>0</v>
      </c>
      <c r="Z111" s="934">
        <f>SUM(Z6:Z11)</f>
        <v>0.0225</v>
      </c>
      <c r="AA111" s="936">
        <f>SUM(J111,O111,U111)</f>
        <v>360.73726113000004</v>
      </c>
      <c r="AB111" s="936">
        <f>SUM(K111,P111,V111)</f>
        <v>0</v>
      </c>
      <c r="AC111" s="936"/>
      <c r="AD111" s="840">
        <f>SUM(L111,Q111,W111)</f>
        <v>360.73726113000004</v>
      </c>
      <c r="AE111" s="839">
        <f>+AL111/AD111</f>
        <v>0.15</v>
      </c>
      <c r="AF111" s="561"/>
      <c r="AG111" s="561"/>
      <c r="AH111" s="561"/>
      <c r="AI111" s="561"/>
      <c r="AJ111" s="561"/>
      <c r="AK111" s="561"/>
      <c r="AL111" s="840">
        <f>SUM(N111,S111,Y111)</f>
        <v>54.1105891695</v>
      </c>
      <c r="AM111" s="937">
        <f aca="true" t="shared" si="35" ref="AM111:AM125">SUM(Z111,T111)</f>
        <v>0.0225</v>
      </c>
      <c r="AN111" s="937">
        <f>SUM(AN6:AN11)</f>
        <v>0</v>
      </c>
      <c r="AO111" s="822">
        <v>12</v>
      </c>
      <c r="AP111" s="416"/>
    </row>
    <row r="112" spans="1:42" ht="20.25">
      <c r="A112" s="822">
        <v>13</v>
      </c>
      <c r="B112" s="822" t="s">
        <v>215</v>
      </c>
      <c r="C112" s="822"/>
      <c r="D112" s="822"/>
      <c r="E112" s="822"/>
      <c r="F112" s="822"/>
      <c r="G112" s="822"/>
      <c r="H112" s="822"/>
      <c r="I112" s="822"/>
      <c r="J112" s="933">
        <f>SUM(J12:J21)</f>
        <v>1278.7077952</v>
      </c>
      <c r="K112" s="933">
        <f>SUM(K12:K21)</f>
        <v>0</v>
      </c>
      <c r="L112" s="933">
        <f>SUM(L12:L21)</f>
        <v>1278.7077952</v>
      </c>
      <c r="M112" s="891">
        <f aca="true" t="shared" si="36" ref="M112:M125">N112/J112</f>
        <v>0.11664871485097209</v>
      </c>
      <c r="N112" s="934">
        <f>SUM(N12:N21)</f>
        <v>149.15962098</v>
      </c>
      <c r="O112" s="933">
        <f>SUM(O12:O21)</f>
        <v>1097</v>
      </c>
      <c r="P112" s="933">
        <f>SUM(P12:P21)</f>
        <v>0</v>
      </c>
      <c r="Q112" s="933">
        <f>SUM(Q12:Q21)</f>
        <v>1097</v>
      </c>
      <c r="R112" s="891">
        <f aca="true" t="shared" si="37" ref="R112:R125">S112/O112</f>
        <v>0.25151230628988147</v>
      </c>
      <c r="S112" s="935">
        <f>SUM(S12:S21)</f>
        <v>275.909</v>
      </c>
      <c r="T112" s="934">
        <f>SUM(T12:T21)</f>
        <v>50</v>
      </c>
      <c r="U112" s="933">
        <f>SUM(U12:U21)</f>
        <v>0</v>
      </c>
      <c r="V112" s="933">
        <f>SUM(V12:V21)</f>
        <v>0</v>
      </c>
      <c r="W112" s="933">
        <f>SUM(W12:W21)</f>
        <v>0</v>
      </c>
      <c r="X112" s="891"/>
      <c r="Y112" s="935">
        <f>SUM(Y12:Y21)</f>
        <v>0</v>
      </c>
      <c r="Z112" s="934">
        <f>SUM(Z12:Z21)</f>
        <v>350</v>
      </c>
      <c r="AA112" s="936">
        <f aca="true" t="shared" si="38" ref="AA112:AB125">SUM(J112,O112,U112)</f>
        <v>2375.7077952</v>
      </c>
      <c r="AB112" s="936">
        <f t="shared" si="38"/>
        <v>0</v>
      </c>
      <c r="AC112" s="936"/>
      <c r="AD112" s="840">
        <f aca="true" t="shared" si="39" ref="AD112:AD125">SUM(L112,Q112,W112)</f>
        <v>2375.7077952</v>
      </c>
      <c r="AE112" s="839">
        <f aca="true" t="shared" si="40" ref="AE112:AE125">+AL112/AD112</f>
        <v>0.17892293902424788</v>
      </c>
      <c r="AF112" s="561"/>
      <c r="AG112" s="561"/>
      <c r="AH112" s="561"/>
      <c r="AI112" s="561"/>
      <c r="AJ112" s="561"/>
      <c r="AK112" s="561"/>
      <c r="AL112" s="840">
        <f aca="true" t="shared" si="41" ref="AL112:AL125">SUM(N112,S112,Y112)</f>
        <v>425.06862098</v>
      </c>
      <c r="AM112" s="937">
        <f t="shared" si="35"/>
        <v>400</v>
      </c>
      <c r="AN112" s="937">
        <f>SUM(AN12:AN21)</f>
        <v>200</v>
      </c>
      <c r="AO112" s="822">
        <v>13</v>
      </c>
      <c r="AP112" s="416"/>
    </row>
    <row r="113" spans="1:42" ht="20.25">
      <c r="A113" s="822">
        <v>14</v>
      </c>
      <c r="B113" s="822" t="s">
        <v>333</v>
      </c>
      <c r="C113" s="822"/>
      <c r="D113" s="822"/>
      <c r="E113" s="822"/>
      <c r="F113" s="822"/>
      <c r="G113" s="822"/>
      <c r="H113" s="822"/>
      <c r="I113" s="822"/>
      <c r="J113" s="933">
        <f>SUM(J22:J43)</f>
        <v>5410.913316599027</v>
      </c>
      <c r="K113" s="933">
        <f>SUM(K22:K43)</f>
        <v>966</v>
      </c>
      <c r="L113" s="933">
        <f>SUM(L22:L43)</f>
        <v>6376.913316599027</v>
      </c>
      <c r="M113" s="891">
        <f t="shared" si="36"/>
        <v>0.10472654498550316</v>
      </c>
      <c r="N113" s="934">
        <f>SUM(N22:N43)</f>
        <v>566.6662568634661</v>
      </c>
      <c r="O113" s="933">
        <f>SUM(O22:O43)</f>
        <v>507</v>
      </c>
      <c r="P113" s="933">
        <f>SUM(P22:P43)</f>
        <v>98</v>
      </c>
      <c r="Q113" s="933">
        <f>SUM(Q22:Q43)</f>
        <v>605</v>
      </c>
      <c r="R113" s="891">
        <f t="shared" si="37"/>
        <v>0.4279289940828402</v>
      </c>
      <c r="S113" s="935">
        <f>SUM(S22:S43)</f>
        <v>216.95999999999998</v>
      </c>
      <c r="T113" s="934">
        <f>SUM(T22:T43)</f>
        <v>250</v>
      </c>
      <c r="U113" s="933">
        <f>SUM(U22:U43)</f>
        <v>0</v>
      </c>
      <c r="V113" s="933">
        <f>SUM(V22:V43)</f>
        <v>0</v>
      </c>
      <c r="W113" s="933">
        <f>SUM(W22:W43)</f>
        <v>0</v>
      </c>
      <c r="X113" s="891"/>
      <c r="Y113" s="935">
        <f>SUM(Y22:Y43)</f>
        <v>0</v>
      </c>
      <c r="Z113" s="934">
        <f>SUM(Z22:Z43)</f>
        <v>0</v>
      </c>
      <c r="AA113" s="936">
        <f t="shared" si="38"/>
        <v>5917.913316599027</v>
      </c>
      <c r="AB113" s="936">
        <f t="shared" si="38"/>
        <v>1064</v>
      </c>
      <c r="AC113" s="936"/>
      <c r="AD113" s="840">
        <f t="shared" si="39"/>
        <v>6981.913316599027</v>
      </c>
      <c r="AE113" s="839">
        <f t="shared" si="40"/>
        <v>0.11223660640421411</v>
      </c>
      <c r="AF113" s="561"/>
      <c r="AG113" s="561"/>
      <c r="AH113" s="561"/>
      <c r="AI113" s="561"/>
      <c r="AJ113" s="561"/>
      <c r="AK113" s="561"/>
      <c r="AL113" s="840">
        <f t="shared" si="41"/>
        <v>783.6262568634661</v>
      </c>
      <c r="AM113" s="937">
        <f t="shared" si="35"/>
        <v>250</v>
      </c>
      <c r="AN113" s="937">
        <f>SUM(AN22:AN43)</f>
        <v>394</v>
      </c>
      <c r="AO113" s="822">
        <v>14</v>
      </c>
      <c r="AP113" s="416"/>
    </row>
    <row r="114" spans="1:42" ht="20.25">
      <c r="A114" s="822">
        <v>15</v>
      </c>
      <c r="B114" s="822" t="s">
        <v>334</v>
      </c>
      <c r="C114" s="822"/>
      <c r="D114" s="822"/>
      <c r="E114" s="822"/>
      <c r="F114" s="822"/>
      <c r="G114" s="822"/>
      <c r="H114" s="822"/>
      <c r="I114" s="822"/>
      <c r="J114" s="933">
        <f>SUM(J44:J45)</f>
        <v>567.6223</v>
      </c>
      <c r="K114" s="933">
        <f>SUM(K44:K45)</f>
        <v>0</v>
      </c>
      <c r="L114" s="933">
        <f>SUM(L44:L45)</f>
        <v>567.6223</v>
      </c>
      <c r="M114" s="891">
        <f t="shared" si="36"/>
        <v>0.07461644829669306</v>
      </c>
      <c r="N114" s="934">
        <f>SUM(N44:N45)</f>
        <v>42.35396</v>
      </c>
      <c r="O114" s="933">
        <f>SUM(O44:O45)</f>
        <v>667</v>
      </c>
      <c r="P114" s="933">
        <f>SUM(P44:P45)</f>
        <v>0</v>
      </c>
      <c r="Q114" s="933">
        <f>SUM(Q44:Q45)</f>
        <v>667</v>
      </c>
      <c r="R114" s="891">
        <f t="shared" si="37"/>
        <v>0.3</v>
      </c>
      <c r="S114" s="935">
        <f>SUM(S44:S45)</f>
        <v>200.1</v>
      </c>
      <c r="T114" s="934">
        <f>SUM(T44:T45)</f>
        <v>540</v>
      </c>
      <c r="U114" s="933">
        <f>SUM(U44:U45)</f>
        <v>0</v>
      </c>
      <c r="V114" s="933">
        <f>SUM(V44:V45)</f>
        <v>0</v>
      </c>
      <c r="W114" s="933">
        <f>SUM(W44:W45)</f>
        <v>0</v>
      </c>
      <c r="X114" s="891"/>
      <c r="Y114" s="935">
        <f>SUM(Y44:Y45)</f>
        <v>0</v>
      </c>
      <c r="Z114" s="934">
        <f>SUM(Z44:Z45)</f>
        <v>0</v>
      </c>
      <c r="AA114" s="936">
        <f t="shared" si="38"/>
        <v>1234.6223</v>
      </c>
      <c r="AB114" s="936">
        <f t="shared" si="38"/>
        <v>0</v>
      </c>
      <c r="AC114" s="936"/>
      <c r="AD114" s="840">
        <f t="shared" si="39"/>
        <v>1234.6223</v>
      </c>
      <c r="AE114" s="839">
        <f t="shared" si="40"/>
        <v>0.19637905454971938</v>
      </c>
      <c r="AF114" s="561"/>
      <c r="AG114" s="561"/>
      <c r="AH114" s="561"/>
      <c r="AI114" s="561"/>
      <c r="AJ114" s="561"/>
      <c r="AK114" s="561"/>
      <c r="AL114" s="840">
        <f t="shared" si="41"/>
        <v>242.45396</v>
      </c>
      <c r="AM114" s="937">
        <f t="shared" si="35"/>
        <v>540</v>
      </c>
      <c r="AN114" s="937">
        <f>SUM(AN44:AN45)</f>
        <v>0</v>
      </c>
      <c r="AO114" s="822">
        <v>15</v>
      </c>
      <c r="AP114" s="416"/>
    </row>
    <row r="115" spans="1:42" ht="20.25">
      <c r="A115" s="822">
        <v>16</v>
      </c>
      <c r="B115" s="822" t="s">
        <v>216</v>
      </c>
      <c r="C115" s="822"/>
      <c r="D115" s="822"/>
      <c r="E115" s="822"/>
      <c r="F115" s="822"/>
      <c r="G115" s="822"/>
      <c r="H115" s="822"/>
      <c r="I115" s="822"/>
      <c r="J115" s="933">
        <f>SUM(J46)</f>
        <v>170.74</v>
      </c>
      <c r="K115" s="933">
        <f>SUM(K46)</f>
        <v>0</v>
      </c>
      <c r="L115" s="933">
        <f>SUM(L46)</f>
        <v>170.74</v>
      </c>
      <c r="M115" s="891">
        <f t="shared" si="36"/>
        <v>0.1</v>
      </c>
      <c r="N115" s="934">
        <f>SUM(N46)</f>
        <v>17.074</v>
      </c>
      <c r="O115" s="933">
        <f>SUM(O46)</f>
        <v>956</v>
      </c>
      <c r="P115" s="933">
        <f>SUM(P46)</f>
        <v>0</v>
      </c>
      <c r="Q115" s="933">
        <f>SUM(Q46)</f>
        <v>956</v>
      </c>
      <c r="R115" s="891">
        <f t="shared" si="37"/>
        <v>0.2</v>
      </c>
      <c r="S115" s="935">
        <f>SUM(S46)</f>
        <v>191.20000000000002</v>
      </c>
      <c r="T115" s="934">
        <f>SUM(T46)</f>
        <v>50</v>
      </c>
      <c r="U115" s="933">
        <f>SUM(U46)</f>
        <v>17</v>
      </c>
      <c r="V115" s="933">
        <f>SUM(V46)</f>
        <v>0</v>
      </c>
      <c r="W115" s="933">
        <f>SUM(W46)</f>
        <v>17</v>
      </c>
      <c r="X115" s="891">
        <f aca="true" t="shared" si="42" ref="X115:X125">Y115/U115</f>
        <v>0</v>
      </c>
      <c r="Y115" s="935">
        <f>SUM(Y46)</f>
        <v>0</v>
      </c>
      <c r="Z115" s="934">
        <f>SUM(Z46)</f>
        <v>0</v>
      </c>
      <c r="AA115" s="936">
        <f t="shared" si="38"/>
        <v>1143.74</v>
      </c>
      <c r="AB115" s="936">
        <f t="shared" si="38"/>
        <v>0</v>
      </c>
      <c r="AC115" s="936"/>
      <c r="AD115" s="840">
        <f t="shared" si="39"/>
        <v>1143.74</v>
      </c>
      <c r="AE115" s="839">
        <f t="shared" si="40"/>
        <v>0.18209907846188822</v>
      </c>
      <c r="AF115" s="561"/>
      <c r="AG115" s="561"/>
      <c r="AH115" s="561"/>
      <c r="AI115" s="561"/>
      <c r="AJ115" s="561"/>
      <c r="AK115" s="561"/>
      <c r="AL115" s="840">
        <f t="shared" si="41"/>
        <v>208.27400000000003</v>
      </c>
      <c r="AM115" s="937">
        <f t="shared" si="35"/>
        <v>50</v>
      </c>
      <c r="AN115" s="937">
        <f>SUM(AN46)</f>
        <v>0</v>
      </c>
      <c r="AO115" s="822">
        <v>16</v>
      </c>
      <c r="AP115" s="416"/>
    </row>
    <row r="116" spans="1:42" ht="20.25">
      <c r="A116" s="822">
        <v>17</v>
      </c>
      <c r="B116" s="822" t="s">
        <v>335</v>
      </c>
      <c r="C116" s="822"/>
      <c r="D116" s="822"/>
      <c r="E116" s="822"/>
      <c r="F116" s="822"/>
      <c r="G116" s="822"/>
      <c r="H116" s="822"/>
      <c r="I116" s="822"/>
      <c r="J116" s="933">
        <f>SUM(J47:J49)</f>
        <v>58.96627200000003</v>
      </c>
      <c r="K116" s="933">
        <f>SUM(K47:K49)</f>
        <v>0</v>
      </c>
      <c r="L116" s="933">
        <f>SUM(L47:L49)</f>
        <v>58.96627200000003</v>
      </c>
      <c r="M116" s="891">
        <f t="shared" si="36"/>
        <v>0</v>
      </c>
      <c r="N116" s="934">
        <f>SUM(N47:N49)</f>
        <v>0</v>
      </c>
      <c r="O116" s="933">
        <f>SUM(O47:O49)</f>
        <v>674</v>
      </c>
      <c r="P116" s="933">
        <f>SUM(P47:P49)</f>
        <v>0</v>
      </c>
      <c r="Q116" s="933">
        <f>SUM(Q47:Q49)</f>
        <v>674</v>
      </c>
      <c r="R116" s="891">
        <f t="shared" si="37"/>
        <v>0.25</v>
      </c>
      <c r="S116" s="935">
        <f>SUM(S47:S49)</f>
        <v>168.5</v>
      </c>
      <c r="T116" s="934">
        <f>SUM(T47:T49)</f>
        <v>100</v>
      </c>
      <c r="U116" s="933">
        <f>SUM(U47:U49)</f>
        <v>55</v>
      </c>
      <c r="V116" s="933">
        <f>SUM(V47:V49)</f>
        <v>0</v>
      </c>
      <c r="W116" s="933">
        <f>SUM(W47:W49)</f>
        <v>55</v>
      </c>
      <c r="X116" s="891">
        <f t="shared" si="42"/>
        <v>0</v>
      </c>
      <c r="Y116" s="935">
        <f>SUM(Y47:Y49)</f>
        <v>0</v>
      </c>
      <c r="Z116" s="934">
        <f>SUM(Z47:Z49)</f>
        <v>50</v>
      </c>
      <c r="AA116" s="936">
        <f t="shared" si="38"/>
        <v>787.966272</v>
      </c>
      <c r="AB116" s="936">
        <f t="shared" si="38"/>
        <v>0</v>
      </c>
      <c r="AC116" s="936"/>
      <c r="AD116" s="840">
        <f t="shared" si="39"/>
        <v>787.966272</v>
      </c>
      <c r="AE116" s="839">
        <f t="shared" si="40"/>
        <v>0.21384164016604</v>
      </c>
      <c r="AF116" s="561"/>
      <c r="AG116" s="561"/>
      <c r="AH116" s="561"/>
      <c r="AI116" s="561"/>
      <c r="AJ116" s="561"/>
      <c r="AK116" s="561"/>
      <c r="AL116" s="840">
        <f t="shared" si="41"/>
        <v>168.5</v>
      </c>
      <c r="AM116" s="937">
        <f t="shared" si="35"/>
        <v>150</v>
      </c>
      <c r="AN116" s="937">
        <f>SUM(AN47:AN49)</f>
        <v>0</v>
      </c>
      <c r="AO116" s="822">
        <v>17</v>
      </c>
      <c r="AP116" s="416"/>
    </row>
    <row r="117" spans="1:42" ht="20.25">
      <c r="A117" s="822">
        <v>18</v>
      </c>
      <c r="B117" s="822" t="s">
        <v>217</v>
      </c>
      <c r="C117" s="822"/>
      <c r="D117" s="822"/>
      <c r="E117" s="822"/>
      <c r="F117" s="822"/>
      <c r="G117" s="822"/>
      <c r="H117" s="822"/>
      <c r="I117" s="822"/>
      <c r="J117" s="933">
        <f>SUM(J50:J56)</f>
        <v>2318.19878589</v>
      </c>
      <c r="K117" s="933">
        <f>SUM(K50:K56)</f>
        <v>0</v>
      </c>
      <c r="L117" s="933">
        <f>SUM(L50:L56)</f>
        <v>2318.19878589</v>
      </c>
      <c r="M117" s="891">
        <f t="shared" si="36"/>
        <v>0.1722620507491064</v>
      </c>
      <c r="N117" s="934">
        <f>SUM(N50:N56)</f>
        <v>399.3376769015</v>
      </c>
      <c r="O117" s="933">
        <f>SUM(O50:O56)</f>
        <v>1693.4</v>
      </c>
      <c r="P117" s="933">
        <f>SUM(P50:P56)</f>
        <v>-11.7</v>
      </c>
      <c r="Q117" s="933">
        <f>SUM(Q50:Q56)</f>
        <v>1681.7</v>
      </c>
      <c r="R117" s="891">
        <f t="shared" si="37"/>
        <v>0.39984752568796506</v>
      </c>
      <c r="S117" s="935">
        <f>SUM(S50:S56)</f>
        <v>677.1018</v>
      </c>
      <c r="T117" s="934">
        <f>SUM(T50:T56)</f>
        <v>600</v>
      </c>
      <c r="U117" s="933">
        <f>SUM(U50:U56)</f>
        <v>11.5</v>
      </c>
      <c r="V117" s="933">
        <f>SUM(V50:V56)</f>
        <v>-11.5</v>
      </c>
      <c r="W117" s="933">
        <f>SUM(W50:W56)</f>
        <v>0</v>
      </c>
      <c r="X117" s="891">
        <f t="shared" si="42"/>
        <v>0</v>
      </c>
      <c r="Y117" s="935">
        <f>SUM(Y50:Y56)</f>
        <v>0</v>
      </c>
      <c r="Z117" s="934">
        <f>SUM(Z50:Z56)</f>
        <v>700</v>
      </c>
      <c r="AA117" s="936">
        <f t="shared" si="38"/>
        <v>4023.0987858900003</v>
      </c>
      <c r="AB117" s="936">
        <f t="shared" si="38"/>
        <v>-23.2</v>
      </c>
      <c r="AC117" s="936"/>
      <c r="AD117" s="840">
        <f t="shared" si="39"/>
        <v>3999.89878589</v>
      </c>
      <c r="AE117" s="839">
        <f t="shared" si="40"/>
        <v>0.2691166788266584</v>
      </c>
      <c r="AF117" s="561"/>
      <c r="AG117" s="561"/>
      <c r="AH117" s="561"/>
      <c r="AI117" s="561"/>
      <c r="AJ117" s="561"/>
      <c r="AK117" s="561"/>
      <c r="AL117" s="840">
        <f t="shared" si="41"/>
        <v>1076.4394769015</v>
      </c>
      <c r="AM117" s="937">
        <f t="shared" si="35"/>
        <v>1300</v>
      </c>
      <c r="AN117" s="937">
        <f>SUM(AN50:AN56)</f>
        <v>744</v>
      </c>
      <c r="AO117" s="822">
        <v>18</v>
      </c>
      <c r="AP117" s="416"/>
    </row>
    <row r="118" spans="1:42" ht="20.25">
      <c r="A118" s="822">
        <v>19</v>
      </c>
      <c r="B118" s="822" t="s">
        <v>336</v>
      </c>
      <c r="C118" s="822"/>
      <c r="D118" s="822"/>
      <c r="E118" s="822"/>
      <c r="F118" s="822"/>
      <c r="G118" s="822"/>
      <c r="H118" s="822"/>
      <c r="I118" s="822"/>
      <c r="J118" s="933">
        <f>SUM(J57)</f>
        <v>172.2641231999997</v>
      </c>
      <c r="K118" s="933">
        <f>SUM(K57)</f>
        <v>0</v>
      </c>
      <c r="L118" s="933">
        <f>SUM(L57)</f>
        <v>172.2641231999997</v>
      </c>
      <c r="M118" s="891">
        <f t="shared" si="36"/>
        <v>0.05</v>
      </c>
      <c r="N118" s="934">
        <f>SUM(N57)</f>
        <v>8.613206159999985</v>
      </c>
      <c r="O118" s="933">
        <f>SUM(O57)</f>
        <v>251.5</v>
      </c>
      <c r="P118" s="933">
        <f>SUM(P57)</f>
        <v>0</v>
      </c>
      <c r="Q118" s="933">
        <f>SUM(Q57)</f>
        <v>251.5</v>
      </c>
      <c r="R118" s="891">
        <f t="shared" si="37"/>
        <v>0.05</v>
      </c>
      <c r="S118" s="935">
        <f>SUM(S57)</f>
        <v>12.575000000000001</v>
      </c>
      <c r="T118" s="934">
        <f>SUM(T57)</f>
        <v>0</v>
      </c>
      <c r="U118" s="933">
        <f>SUM(U57)</f>
        <v>153</v>
      </c>
      <c r="V118" s="933">
        <f>SUM(V57)</f>
        <v>0</v>
      </c>
      <c r="W118" s="933">
        <f>SUM(W57)</f>
        <v>153</v>
      </c>
      <c r="X118" s="891">
        <f t="shared" si="42"/>
        <v>0</v>
      </c>
      <c r="Y118" s="935">
        <f>SUM(Y57)</f>
        <v>0</v>
      </c>
      <c r="Z118" s="934">
        <f>SUM(Z57)</f>
        <v>200</v>
      </c>
      <c r="AA118" s="936">
        <f t="shared" si="38"/>
        <v>576.7641231999996</v>
      </c>
      <c r="AB118" s="936">
        <f t="shared" si="38"/>
        <v>0</v>
      </c>
      <c r="AC118" s="936"/>
      <c r="AD118" s="840">
        <f t="shared" si="39"/>
        <v>576.7641231999996</v>
      </c>
      <c r="AE118" s="839">
        <f t="shared" si="40"/>
        <v>0.0367363456007695</v>
      </c>
      <c r="AF118" s="561"/>
      <c r="AG118" s="561"/>
      <c r="AH118" s="561"/>
      <c r="AI118" s="561"/>
      <c r="AJ118" s="561"/>
      <c r="AK118" s="561"/>
      <c r="AL118" s="840">
        <f t="shared" si="41"/>
        <v>21.188206159999986</v>
      </c>
      <c r="AM118" s="937">
        <f t="shared" si="35"/>
        <v>200</v>
      </c>
      <c r="AN118" s="937">
        <f>SUM(AN57)</f>
        <v>0</v>
      </c>
      <c r="AO118" s="822">
        <v>19</v>
      </c>
      <c r="AP118" s="416"/>
    </row>
    <row r="119" spans="1:42" ht="20.25">
      <c r="A119" s="822">
        <v>2</v>
      </c>
      <c r="B119" s="822" t="s">
        <v>337</v>
      </c>
      <c r="C119" s="822"/>
      <c r="D119" s="822"/>
      <c r="E119" s="822"/>
      <c r="F119" s="822"/>
      <c r="G119" s="822"/>
      <c r="H119" s="822"/>
      <c r="I119" s="822"/>
      <c r="J119" s="933">
        <f>SUM(J58:J61)</f>
        <v>0</v>
      </c>
      <c r="K119" s="933">
        <f>SUM(K58:K61)</f>
        <v>0</v>
      </c>
      <c r="L119" s="933">
        <f>SUM(L58:L61)</f>
        <v>0</v>
      </c>
      <c r="M119" s="891"/>
      <c r="N119" s="934">
        <f>SUM(N58:N61)</f>
        <v>0</v>
      </c>
      <c r="O119" s="933">
        <f>SUM(O58:O61)</f>
        <v>138.2</v>
      </c>
      <c r="P119" s="933">
        <f>SUM(P58:P61)</f>
        <v>0</v>
      </c>
      <c r="Q119" s="933">
        <f>SUM(Q58:Q61)</f>
        <v>138.2</v>
      </c>
      <c r="R119" s="891">
        <f t="shared" si="37"/>
        <v>0.1</v>
      </c>
      <c r="S119" s="935">
        <f>SUM(S58:S61)</f>
        <v>13.82</v>
      </c>
      <c r="T119" s="934">
        <f>SUM(T58:T61)</f>
        <v>0</v>
      </c>
      <c r="U119" s="933">
        <f>SUM(U58:U61)</f>
        <v>0</v>
      </c>
      <c r="V119" s="933">
        <f>SUM(V58:V61)</f>
        <v>0</v>
      </c>
      <c r="W119" s="933">
        <f>SUM(W58:W61)</f>
        <v>0</v>
      </c>
      <c r="X119" s="891"/>
      <c r="Y119" s="935">
        <f>SUM(Y58:Y61)</f>
        <v>0</v>
      </c>
      <c r="Z119" s="934">
        <f>SUM(Z58:Z61)</f>
        <v>50</v>
      </c>
      <c r="AA119" s="936">
        <f t="shared" si="38"/>
        <v>138.2</v>
      </c>
      <c r="AB119" s="936">
        <f t="shared" si="38"/>
        <v>0</v>
      </c>
      <c r="AC119" s="936"/>
      <c r="AD119" s="840">
        <f t="shared" si="39"/>
        <v>138.2</v>
      </c>
      <c r="AE119" s="839">
        <f t="shared" si="40"/>
        <v>0.1</v>
      </c>
      <c r="AF119" s="561"/>
      <c r="AG119" s="561"/>
      <c r="AH119" s="561"/>
      <c r="AI119" s="561"/>
      <c r="AJ119" s="561"/>
      <c r="AK119" s="561"/>
      <c r="AL119" s="840">
        <f t="shared" si="41"/>
        <v>13.82</v>
      </c>
      <c r="AM119" s="937">
        <f t="shared" si="35"/>
        <v>50</v>
      </c>
      <c r="AN119" s="937">
        <f>SUM(AN58:AN61)</f>
        <v>0</v>
      </c>
      <c r="AO119" s="822">
        <v>2</v>
      </c>
      <c r="AP119" s="416"/>
    </row>
    <row r="120" spans="1:42" ht="20.25">
      <c r="A120" s="822">
        <v>3</v>
      </c>
      <c r="B120" s="822" t="s">
        <v>338</v>
      </c>
      <c r="C120" s="822"/>
      <c r="D120" s="822"/>
      <c r="E120" s="822"/>
      <c r="F120" s="822"/>
      <c r="G120" s="822"/>
      <c r="H120" s="822"/>
      <c r="I120" s="822"/>
      <c r="J120" s="933">
        <f>SUM(J62:J65)</f>
        <v>137.09896617000004</v>
      </c>
      <c r="K120" s="933">
        <f>SUM(K62:K65)</f>
        <v>0</v>
      </c>
      <c r="L120" s="933">
        <f>SUM(L62:L65)</f>
        <v>137.09896617000004</v>
      </c>
      <c r="M120" s="891">
        <f t="shared" si="36"/>
        <v>0.131855376473697</v>
      </c>
      <c r="N120" s="934">
        <f>SUM(N62:N65)</f>
        <v>18.077235798500002</v>
      </c>
      <c r="O120" s="933">
        <f>SUM(O62:O65)</f>
        <v>59.6</v>
      </c>
      <c r="P120" s="933">
        <f>SUM(P62:P65)</f>
        <v>0</v>
      </c>
      <c r="Q120" s="933">
        <f>SUM(Q62:Q65)</f>
        <v>59.6</v>
      </c>
      <c r="R120" s="891">
        <f t="shared" si="37"/>
        <v>0.21543624161073824</v>
      </c>
      <c r="S120" s="935">
        <f>SUM(S62:S65)</f>
        <v>12.84</v>
      </c>
      <c r="T120" s="934">
        <f>SUM(T62:T65)</f>
        <v>0</v>
      </c>
      <c r="U120" s="933">
        <f>SUM(U62:U65)</f>
        <v>0.1</v>
      </c>
      <c r="V120" s="933">
        <f>SUM(V62:V65)</f>
        <v>0</v>
      </c>
      <c r="W120" s="933">
        <f>SUM(W62:W65)</f>
        <v>0.1</v>
      </c>
      <c r="X120" s="891">
        <f t="shared" si="42"/>
        <v>0</v>
      </c>
      <c r="Y120" s="935">
        <f>SUM(Y62:Y65)</f>
        <v>0</v>
      </c>
      <c r="Z120" s="934">
        <f>SUM(Z62:Z65)</f>
        <v>175</v>
      </c>
      <c r="AA120" s="936">
        <f t="shared" si="38"/>
        <v>196.79896617000003</v>
      </c>
      <c r="AB120" s="936">
        <f t="shared" si="38"/>
        <v>0</v>
      </c>
      <c r="AC120" s="936"/>
      <c r="AD120" s="840">
        <f t="shared" si="39"/>
        <v>196.79896617000003</v>
      </c>
      <c r="AE120" s="839">
        <f t="shared" si="40"/>
        <v>0.1571006006799492</v>
      </c>
      <c r="AF120" s="561"/>
      <c r="AG120" s="561"/>
      <c r="AH120" s="561"/>
      <c r="AI120" s="561"/>
      <c r="AJ120" s="561"/>
      <c r="AK120" s="561"/>
      <c r="AL120" s="840">
        <f t="shared" si="41"/>
        <v>30.917235798500002</v>
      </c>
      <c r="AM120" s="937">
        <f t="shared" si="35"/>
        <v>175</v>
      </c>
      <c r="AN120" s="937">
        <f>SUM(AN62:AN65)</f>
        <v>0</v>
      </c>
      <c r="AO120" s="822">
        <v>3</v>
      </c>
      <c r="AP120" s="416"/>
    </row>
    <row r="121" spans="1:42" ht="20.25">
      <c r="A121" s="822">
        <v>4</v>
      </c>
      <c r="B121" s="822" t="s">
        <v>339</v>
      </c>
      <c r="C121" s="822"/>
      <c r="D121" s="822"/>
      <c r="E121" s="822"/>
      <c r="F121" s="822"/>
      <c r="G121" s="822"/>
      <c r="H121" s="822"/>
      <c r="I121" s="822"/>
      <c r="J121" s="933">
        <f>SUM(J66:J70)</f>
        <v>0</v>
      </c>
      <c r="K121" s="933">
        <f>SUM(K66:K70)</f>
        <v>-229</v>
      </c>
      <c r="L121" s="933">
        <f>SUM(L66:L70)</f>
        <v>-229</v>
      </c>
      <c r="M121" s="891"/>
      <c r="N121" s="934">
        <f>SUM(N66:N70)</f>
        <v>0</v>
      </c>
      <c r="O121" s="933">
        <f>SUM(O66:O70)</f>
        <v>2287</v>
      </c>
      <c r="P121" s="933">
        <f>SUM(P66:P70)</f>
        <v>-401</v>
      </c>
      <c r="Q121" s="933">
        <f>SUM(Q66:Q70)</f>
        <v>1886</v>
      </c>
      <c r="R121" s="891">
        <f t="shared" si="37"/>
        <v>0.08246611281154352</v>
      </c>
      <c r="S121" s="935">
        <f>SUM(S66:S70)</f>
        <v>188.60000000000002</v>
      </c>
      <c r="T121" s="934">
        <f>SUM(T66:T70)</f>
        <v>0</v>
      </c>
      <c r="U121" s="933">
        <f>SUM(U66:U70)</f>
        <v>173</v>
      </c>
      <c r="V121" s="933">
        <f>SUM(V66:V70)</f>
        <v>0</v>
      </c>
      <c r="W121" s="933">
        <f>SUM(W66:W70)</f>
        <v>173</v>
      </c>
      <c r="X121" s="891">
        <f t="shared" si="42"/>
        <v>0</v>
      </c>
      <c r="Y121" s="935">
        <f>SUM(Y66:Y70)</f>
        <v>0</v>
      </c>
      <c r="Z121" s="934">
        <f>SUM(Z66:Z70)</f>
        <v>375</v>
      </c>
      <c r="AA121" s="936">
        <f t="shared" si="38"/>
        <v>2460</v>
      </c>
      <c r="AB121" s="936">
        <f t="shared" si="38"/>
        <v>-630</v>
      </c>
      <c r="AC121" s="936"/>
      <c r="AD121" s="840">
        <f t="shared" si="39"/>
        <v>1830</v>
      </c>
      <c r="AE121" s="839">
        <f t="shared" si="40"/>
        <v>0.1030601092896175</v>
      </c>
      <c r="AF121" s="561"/>
      <c r="AG121" s="561"/>
      <c r="AH121" s="561"/>
      <c r="AI121" s="561"/>
      <c r="AJ121" s="561"/>
      <c r="AK121" s="561"/>
      <c r="AL121" s="840">
        <f t="shared" si="41"/>
        <v>188.60000000000002</v>
      </c>
      <c r="AM121" s="937">
        <f t="shared" si="35"/>
        <v>375</v>
      </c>
      <c r="AN121" s="937">
        <f>SUM(AN66:AN70)</f>
        <v>0</v>
      </c>
      <c r="AO121" s="822">
        <v>4</v>
      </c>
      <c r="AP121" s="416"/>
    </row>
    <row r="122" spans="1:42" ht="20.25">
      <c r="A122" s="822">
        <v>5</v>
      </c>
      <c r="B122" s="822" t="s">
        <v>340</v>
      </c>
      <c r="C122" s="822"/>
      <c r="D122" s="822"/>
      <c r="E122" s="822"/>
      <c r="F122" s="822"/>
      <c r="G122" s="822"/>
      <c r="H122" s="822"/>
      <c r="I122" s="822"/>
      <c r="J122" s="933">
        <f>SUM(J71:J77)</f>
        <v>0</v>
      </c>
      <c r="K122" s="933">
        <f>SUM(K71:K77)</f>
        <v>0</v>
      </c>
      <c r="L122" s="933">
        <f>SUM(L71:L77)</f>
        <v>0</v>
      </c>
      <c r="M122" s="891"/>
      <c r="N122" s="934">
        <f>SUM(N71:N77)</f>
        <v>0</v>
      </c>
      <c r="O122" s="933">
        <f>SUM(O71:O77)</f>
        <v>730.1</v>
      </c>
      <c r="P122" s="933">
        <f>SUM(P71:P77)</f>
        <v>0</v>
      </c>
      <c r="Q122" s="933">
        <f>SUM(Q71:Q77)</f>
        <v>730.1</v>
      </c>
      <c r="R122" s="891">
        <f t="shared" si="37"/>
        <v>0.1</v>
      </c>
      <c r="S122" s="935">
        <f>SUM(S71:S77)</f>
        <v>73.01</v>
      </c>
      <c r="T122" s="934">
        <f>SUM(T71:T77)</f>
        <v>0</v>
      </c>
      <c r="U122" s="933">
        <f>SUM(U71:U77)</f>
        <v>23</v>
      </c>
      <c r="V122" s="933">
        <f>SUM(V71:V77)</f>
        <v>0</v>
      </c>
      <c r="W122" s="933">
        <f>SUM(W71:W77)</f>
        <v>23</v>
      </c>
      <c r="X122" s="891">
        <f t="shared" si="42"/>
        <v>0</v>
      </c>
      <c r="Y122" s="935">
        <f>SUM(Y71:Y77)</f>
        <v>0</v>
      </c>
      <c r="Z122" s="934">
        <f>SUM(Z71:Z77)</f>
        <v>290</v>
      </c>
      <c r="AA122" s="936">
        <f t="shared" si="38"/>
        <v>753.1</v>
      </c>
      <c r="AB122" s="936">
        <f t="shared" si="38"/>
        <v>0</v>
      </c>
      <c r="AC122" s="936"/>
      <c r="AD122" s="840">
        <f t="shared" si="39"/>
        <v>753.1</v>
      </c>
      <c r="AE122" s="839">
        <f t="shared" si="40"/>
        <v>0.09694595671225602</v>
      </c>
      <c r="AF122" s="561"/>
      <c r="AG122" s="561"/>
      <c r="AH122" s="561"/>
      <c r="AI122" s="561"/>
      <c r="AJ122" s="561"/>
      <c r="AK122" s="561"/>
      <c r="AL122" s="840">
        <f t="shared" si="41"/>
        <v>73.01</v>
      </c>
      <c r="AM122" s="937">
        <f t="shared" si="35"/>
        <v>290</v>
      </c>
      <c r="AN122" s="937">
        <f>SUM(AN71:AN77)</f>
        <v>0</v>
      </c>
      <c r="AO122" s="822">
        <v>5</v>
      </c>
      <c r="AP122" s="416"/>
    </row>
    <row r="123" spans="1:42" ht="20.25">
      <c r="A123" s="822">
        <v>6</v>
      </c>
      <c r="B123" s="822" t="s">
        <v>341</v>
      </c>
      <c r="C123" s="822"/>
      <c r="D123" s="822"/>
      <c r="E123" s="822"/>
      <c r="F123" s="822"/>
      <c r="G123" s="822"/>
      <c r="H123" s="822"/>
      <c r="I123" s="822"/>
      <c r="J123" s="933">
        <f>SUM(J78:J82)</f>
        <v>0</v>
      </c>
      <c r="K123" s="933">
        <f>SUM(K78:K82)</f>
        <v>0</v>
      </c>
      <c r="L123" s="933">
        <f>SUM(L78:L82)</f>
        <v>0</v>
      </c>
      <c r="M123" s="891"/>
      <c r="N123" s="934">
        <f>SUM(N78:N82)</f>
        <v>0</v>
      </c>
      <c r="O123" s="933">
        <f>SUM(O78:O82)</f>
        <v>576</v>
      </c>
      <c r="P123" s="933">
        <f>SUM(P78:P82)</f>
        <v>0</v>
      </c>
      <c r="Q123" s="933">
        <f>SUM(Q78:Q82)</f>
        <v>576</v>
      </c>
      <c r="R123" s="891">
        <f t="shared" si="37"/>
        <v>0.5458333333333333</v>
      </c>
      <c r="S123" s="935">
        <f>SUM(S78:S82)</f>
        <v>314.4</v>
      </c>
      <c r="T123" s="934">
        <f>SUM(T78:T82)</f>
        <v>0</v>
      </c>
      <c r="U123" s="933">
        <f>SUM(U78:U82)</f>
        <v>0</v>
      </c>
      <c r="V123" s="933">
        <f>SUM(V78:V82)</f>
        <v>0</v>
      </c>
      <c r="W123" s="933">
        <f>SUM(W78:W82)</f>
        <v>0</v>
      </c>
      <c r="X123" s="891"/>
      <c r="Y123" s="935">
        <f>SUM(Y78:Y82)</f>
        <v>0</v>
      </c>
      <c r="Z123" s="934">
        <f>SUM(Z78:Z82)</f>
        <v>100</v>
      </c>
      <c r="AA123" s="936">
        <f t="shared" si="38"/>
        <v>576</v>
      </c>
      <c r="AB123" s="936">
        <f t="shared" si="38"/>
        <v>0</v>
      </c>
      <c r="AC123" s="936"/>
      <c r="AD123" s="840">
        <f t="shared" si="39"/>
        <v>576</v>
      </c>
      <c r="AE123" s="839">
        <f t="shared" si="40"/>
        <v>0.5458333333333333</v>
      </c>
      <c r="AF123" s="561"/>
      <c r="AG123" s="561"/>
      <c r="AH123" s="561"/>
      <c r="AI123" s="561"/>
      <c r="AJ123" s="561"/>
      <c r="AK123" s="561"/>
      <c r="AL123" s="840">
        <f t="shared" si="41"/>
        <v>314.4</v>
      </c>
      <c r="AM123" s="937">
        <f t="shared" si="35"/>
        <v>100</v>
      </c>
      <c r="AN123" s="937">
        <f>SUM(AN78:AN82)</f>
        <v>314</v>
      </c>
      <c r="AO123" s="822">
        <v>6</v>
      </c>
      <c r="AP123" s="416"/>
    </row>
    <row r="124" spans="1:42" ht="20.25">
      <c r="A124" s="822">
        <v>7</v>
      </c>
      <c r="B124" s="822" t="s">
        <v>342</v>
      </c>
      <c r="C124" s="822"/>
      <c r="D124" s="822"/>
      <c r="E124" s="822"/>
      <c r="F124" s="822"/>
      <c r="G124" s="822"/>
      <c r="H124" s="822"/>
      <c r="I124" s="822"/>
      <c r="J124" s="933">
        <f>SUM(J83:J88)</f>
        <v>31.95593599999995</v>
      </c>
      <c r="K124" s="933">
        <f>SUM(K83:K88)</f>
        <v>0</v>
      </c>
      <c r="L124" s="933">
        <f>SUM(L83:L88)</f>
        <v>31.95593599999995</v>
      </c>
      <c r="M124" s="891">
        <f t="shared" si="36"/>
        <v>0.05</v>
      </c>
      <c r="N124" s="934">
        <f>SUM(N83:N88)</f>
        <v>1.5977967999999976</v>
      </c>
      <c r="O124" s="933">
        <f>SUM(O83:O88)</f>
        <v>1718.1</v>
      </c>
      <c r="P124" s="933">
        <f>SUM(P83:P88)</f>
        <v>0</v>
      </c>
      <c r="Q124" s="933">
        <f>SUM(Q83:Q88)</f>
        <v>1718.1</v>
      </c>
      <c r="R124" s="891">
        <f t="shared" si="37"/>
        <v>0.32185553809440665</v>
      </c>
      <c r="S124" s="935">
        <f>SUM(S83:S88)</f>
        <v>552.98</v>
      </c>
      <c r="T124" s="934">
        <f>SUM(T83:T88)</f>
        <v>300</v>
      </c>
      <c r="U124" s="933">
        <f>SUM(U83:U88)</f>
        <v>1125</v>
      </c>
      <c r="V124" s="933">
        <f>SUM(V83:V88)</f>
        <v>0</v>
      </c>
      <c r="W124" s="933">
        <f>SUM(W83:W88)</f>
        <v>1125</v>
      </c>
      <c r="X124" s="891">
        <f t="shared" si="42"/>
        <v>0.1269297925834047</v>
      </c>
      <c r="Y124" s="935">
        <f>SUM(Y83:Y88)</f>
        <v>142.7960166563303</v>
      </c>
      <c r="Z124" s="934">
        <f>SUM(Z83:Z88)</f>
        <v>1100</v>
      </c>
      <c r="AA124" s="936">
        <f t="shared" si="38"/>
        <v>2875.0559359999997</v>
      </c>
      <c r="AB124" s="936">
        <f t="shared" si="38"/>
        <v>0</v>
      </c>
      <c r="AC124" s="936"/>
      <c r="AD124" s="840">
        <f t="shared" si="39"/>
        <v>2875.0559359999997</v>
      </c>
      <c r="AE124" s="839">
        <f t="shared" si="40"/>
        <v>0.24256008543144056</v>
      </c>
      <c r="AF124" s="561"/>
      <c r="AG124" s="561"/>
      <c r="AH124" s="561"/>
      <c r="AI124" s="561"/>
      <c r="AJ124" s="561"/>
      <c r="AK124" s="561"/>
      <c r="AL124" s="840">
        <f t="shared" si="41"/>
        <v>697.3738134563303</v>
      </c>
      <c r="AM124" s="937">
        <f t="shared" si="35"/>
        <v>1400</v>
      </c>
      <c r="AN124" s="937">
        <f>SUM(AN83:AN88)</f>
        <v>0</v>
      </c>
      <c r="AO124" s="822">
        <v>7</v>
      </c>
      <c r="AP124" s="416"/>
    </row>
    <row r="125" spans="1:42" ht="20.25">
      <c r="A125" s="822">
        <v>8</v>
      </c>
      <c r="B125" s="822" t="s">
        <v>343</v>
      </c>
      <c r="C125" s="822"/>
      <c r="D125" s="822"/>
      <c r="E125" s="822"/>
      <c r="F125" s="822"/>
      <c r="G125" s="822"/>
      <c r="H125" s="822"/>
      <c r="I125" s="822"/>
      <c r="J125" s="933">
        <f>SUM(J89:J98)</f>
        <v>1657.61033902839</v>
      </c>
      <c r="K125" s="933">
        <f>SUM(K89:K98)</f>
        <v>-310</v>
      </c>
      <c r="L125" s="933">
        <f>SUM(L89:L98)</f>
        <v>1347.61033902839</v>
      </c>
      <c r="M125" s="891">
        <f t="shared" si="36"/>
        <v>0.10336119009027553</v>
      </c>
      <c r="N125" s="934">
        <f>SUM(N89:N98)</f>
        <v>171.33257734791948</v>
      </c>
      <c r="O125" s="933">
        <f>SUM(O89:O98)</f>
        <v>1257.7</v>
      </c>
      <c r="P125" s="933">
        <f>SUM(P89:P98)</f>
        <v>-101</v>
      </c>
      <c r="Q125" s="933">
        <f>SUM(Q89:Q98)</f>
        <v>1156.7</v>
      </c>
      <c r="R125" s="891">
        <f t="shared" si="37"/>
        <v>0.41366780631311123</v>
      </c>
      <c r="S125" s="935">
        <f>SUM(S89:S98)</f>
        <v>520.27</v>
      </c>
      <c r="T125" s="934">
        <f>SUM(T89:T98)</f>
        <v>815</v>
      </c>
      <c r="U125" s="933">
        <f>SUM(U89:U98)</f>
        <v>733.5</v>
      </c>
      <c r="V125" s="933">
        <f>SUM(V89:V98)</f>
        <v>0</v>
      </c>
      <c r="W125" s="933">
        <f>SUM(W89:W98)</f>
        <v>733.5</v>
      </c>
      <c r="X125" s="891">
        <f t="shared" si="42"/>
        <v>0</v>
      </c>
      <c r="Y125" s="935">
        <f>SUM(Y89:Y98)</f>
        <v>0</v>
      </c>
      <c r="Z125" s="934">
        <f>SUM(Z89:Z98)</f>
        <v>510</v>
      </c>
      <c r="AA125" s="936">
        <f t="shared" si="38"/>
        <v>3648.81033902839</v>
      </c>
      <c r="AB125" s="936">
        <f t="shared" si="38"/>
        <v>-411</v>
      </c>
      <c r="AC125" s="936"/>
      <c r="AD125" s="840">
        <f t="shared" si="39"/>
        <v>3237.81033902839</v>
      </c>
      <c r="AE125" s="839">
        <f t="shared" si="40"/>
        <v>0.2136019423409023</v>
      </c>
      <c r="AF125" s="561"/>
      <c r="AG125" s="561"/>
      <c r="AH125" s="561"/>
      <c r="AI125" s="561"/>
      <c r="AJ125" s="561"/>
      <c r="AK125" s="561"/>
      <c r="AL125" s="840">
        <f t="shared" si="41"/>
        <v>691.6025773479195</v>
      </c>
      <c r="AM125" s="937">
        <f t="shared" si="35"/>
        <v>1325</v>
      </c>
      <c r="AN125" s="937">
        <f>SUM(AN89:AN98)</f>
        <v>690</v>
      </c>
      <c r="AO125" s="822">
        <v>8</v>
      </c>
      <c r="AP125" s="416"/>
    </row>
    <row r="126" spans="1:42" ht="20.25">
      <c r="A126" s="822"/>
      <c r="B126" s="822"/>
      <c r="C126" s="822"/>
      <c r="D126" s="822"/>
      <c r="E126" s="822"/>
      <c r="F126" s="822"/>
      <c r="G126" s="822"/>
      <c r="H126" s="822"/>
      <c r="I126" s="822"/>
      <c r="J126" s="938">
        <f>SUM(J111:J125)</f>
        <v>11920.815095217418</v>
      </c>
      <c r="K126" s="939">
        <f>SUM(K111:K125)</f>
        <v>427</v>
      </c>
      <c r="L126" s="939">
        <f>SUM(L111:L125)</f>
        <v>12347.815095217418</v>
      </c>
      <c r="M126" s="940">
        <f>N126/J126</f>
        <v>0.11674729529017179</v>
      </c>
      <c r="N126" s="941">
        <f>SUM(N111:N125)</f>
        <v>1391.7229200208853</v>
      </c>
      <c r="O126" s="938">
        <f>SUM(O111:O125)</f>
        <v>12856.600000000002</v>
      </c>
      <c r="P126" s="939">
        <f>SUM(P111:P125)</f>
        <v>-415.7</v>
      </c>
      <c r="Q126" s="939">
        <f>SUM(Q111:Q125)</f>
        <v>12440.900000000001</v>
      </c>
      <c r="R126" s="940">
        <f>S126/O126</f>
        <v>0.268723130532178</v>
      </c>
      <c r="S126" s="939">
        <f>SUM(S111:S125)</f>
        <v>3454.8658000000005</v>
      </c>
      <c r="T126" s="941">
        <f>SUM(T111:T125)</f>
        <v>2705</v>
      </c>
      <c r="U126" s="938">
        <f>SUM(U111:U125)</f>
        <v>2291.1</v>
      </c>
      <c r="V126" s="939">
        <f>SUM(V111:V125)</f>
        <v>-11.5</v>
      </c>
      <c r="W126" s="939">
        <f>SUM(W111:W125)</f>
        <v>2279.6</v>
      </c>
      <c r="X126" s="940">
        <f>Y126/U126</f>
        <v>0.06232640070548221</v>
      </c>
      <c r="Y126" s="939">
        <f>SUM(Y111:Y125)</f>
        <v>142.7960166563303</v>
      </c>
      <c r="Z126" s="941">
        <f>SUM(Z111:Z125)</f>
        <v>3900.0225</v>
      </c>
      <c r="AA126" s="942">
        <f>SUM(AA111:AA125)</f>
        <v>27068.51509521742</v>
      </c>
      <c r="AB126" s="942">
        <f>SUM(AB111:AB125)</f>
        <v>-0.20000000000004547</v>
      </c>
      <c r="AC126" s="942"/>
      <c r="AD126" s="943">
        <f>SUM(AD111:AD125)</f>
        <v>27068.31509521742</v>
      </c>
      <c r="AE126" s="944">
        <f>+AL126/AD126</f>
        <v>0.18432564860894385</v>
      </c>
      <c r="AF126" s="562"/>
      <c r="AG126" s="562"/>
      <c r="AH126" s="562"/>
      <c r="AI126" s="562"/>
      <c r="AJ126" s="562"/>
      <c r="AK126" s="562"/>
      <c r="AL126" s="945">
        <f>SUM(AL111:AL125)</f>
        <v>4989.384736677216</v>
      </c>
      <c r="AM126" s="946">
        <f>SUM(AM111:AM125)</f>
        <v>6605.0225</v>
      </c>
      <c r="AN126" s="946">
        <f>SUM(AN111:AN125)</f>
        <v>2342</v>
      </c>
      <c r="AO126" s="659">
        <f>SUM(AN126,AM126,AL126,AD126)</f>
        <v>41004.722331894634</v>
      </c>
      <c r="AP126" s="416"/>
    </row>
    <row r="127" spans="1:42" ht="20.25">
      <c r="A127" s="822"/>
      <c r="B127" s="822" t="s">
        <v>90</v>
      </c>
      <c r="C127" s="822"/>
      <c r="D127" s="822"/>
      <c r="E127" s="822"/>
      <c r="F127" s="822"/>
      <c r="G127" s="822"/>
      <c r="H127" s="822"/>
      <c r="I127" s="822"/>
      <c r="J127" s="933">
        <f>SUM(J99)</f>
        <v>1828</v>
      </c>
      <c r="K127" s="935"/>
      <c r="L127" s="935"/>
      <c r="M127" s="891"/>
      <c r="N127" s="934"/>
      <c r="O127" s="933">
        <f>O99</f>
        <v>3075</v>
      </c>
      <c r="P127" s="935"/>
      <c r="Q127" s="935"/>
      <c r="R127" s="891"/>
      <c r="S127" s="935"/>
      <c r="T127" s="934"/>
      <c r="U127" s="933">
        <f>U99</f>
        <v>132</v>
      </c>
      <c r="V127" s="935"/>
      <c r="W127" s="935"/>
      <c r="X127" s="891"/>
      <c r="Y127" s="935"/>
      <c r="Z127" s="934"/>
      <c r="AA127" s="947">
        <f>SUM(J127,O127,U127)</f>
        <v>5035</v>
      </c>
      <c r="AB127" s="948"/>
      <c r="AC127" s="948"/>
      <c r="AD127" s="563"/>
      <c r="AE127" s="949"/>
      <c r="AF127" s="563"/>
      <c r="AG127" s="563"/>
      <c r="AH127" s="563"/>
      <c r="AI127" s="563"/>
      <c r="AJ127" s="563"/>
      <c r="AK127" s="563"/>
      <c r="AL127" s="563"/>
      <c r="AM127" s="950"/>
      <c r="AN127" s="924"/>
      <c r="AO127" s="416"/>
      <c r="AP127" s="416"/>
    </row>
    <row r="128" spans="1:42" ht="20.25">
      <c r="A128" s="822"/>
      <c r="B128" s="822" t="s">
        <v>116</v>
      </c>
      <c r="C128" s="822"/>
      <c r="D128" s="822"/>
      <c r="E128" s="822"/>
      <c r="F128" s="822"/>
      <c r="G128" s="822"/>
      <c r="H128" s="822"/>
      <c r="I128" s="822"/>
      <c r="J128" s="938">
        <f>J126+J127</f>
        <v>13748.815095217418</v>
      </c>
      <c r="K128" s="939"/>
      <c r="L128" s="939"/>
      <c r="M128" s="940"/>
      <c r="N128" s="941">
        <f>N126+N127</f>
        <v>1391.7229200208853</v>
      </c>
      <c r="O128" s="938">
        <f>O126+O127</f>
        <v>15931.600000000002</v>
      </c>
      <c r="P128" s="939"/>
      <c r="Q128" s="939"/>
      <c r="R128" s="940"/>
      <c r="S128" s="939">
        <f>S126+S127</f>
        <v>3454.8658000000005</v>
      </c>
      <c r="T128" s="941">
        <f>T126+T127</f>
        <v>2705</v>
      </c>
      <c r="U128" s="938">
        <f>U126+U127</f>
        <v>2423.1</v>
      </c>
      <c r="V128" s="939"/>
      <c r="W128" s="939"/>
      <c r="X128" s="940"/>
      <c r="Y128" s="939">
        <f>Y126+Y127</f>
        <v>142.7960166563303</v>
      </c>
      <c r="Z128" s="941">
        <f>Z126+Z127</f>
        <v>3900.0225</v>
      </c>
      <c r="AA128" s="951">
        <f>AA126+AA127</f>
        <v>32103.51509521742</v>
      </c>
      <c r="AB128" s="952"/>
      <c r="AC128" s="952"/>
      <c r="AD128" s="564"/>
      <c r="AE128" s="953"/>
      <c r="AF128" s="564"/>
      <c r="AG128" s="564"/>
      <c r="AH128" s="564"/>
      <c r="AI128" s="564"/>
      <c r="AJ128" s="564"/>
      <c r="AK128" s="564"/>
      <c r="AL128" s="564"/>
      <c r="AM128" s="559"/>
      <c r="AN128" s="924"/>
      <c r="AO128" s="416"/>
      <c r="AP128" s="416"/>
    </row>
    <row r="129" spans="10:42" ht="20.25">
      <c r="J129" s="845">
        <f>SUM(J111:J125,J127)</f>
        <v>13748.815095217418</v>
      </c>
      <c r="AN129" s="924"/>
      <c r="AO129" s="416"/>
      <c r="AP129" s="416"/>
    </row>
    <row r="130" spans="2:40" s="954" customFormat="1" ht="20.25">
      <c r="B130" s="954" t="s">
        <v>346</v>
      </c>
      <c r="N130" s="566">
        <f>SUM(L126,N126)</f>
        <v>13739.538015238304</v>
      </c>
      <c r="O130" s="566"/>
      <c r="P130" s="566"/>
      <c r="Q130" s="566"/>
      <c r="R130" s="566"/>
      <c r="S130" s="566">
        <f>SUM(Q126,S126)</f>
        <v>15895.765800000001</v>
      </c>
      <c r="T130" s="566"/>
      <c r="U130" s="566"/>
      <c r="V130" s="566"/>
      <c r="W130" s="566"/>
      <c r="X130" s="566"/>
      <c r="Y130" s="566">
        <f>SUM(W126,Y126)</f>
        <v>2422.39601665633</v>
      </c>
      <c r="Z130" s="566"/>
      <c r="AA130" s="566"/>
      <c r="AB130" s="566"/>
      <c r="AC130" s="566"/>
      <c r="AD130" s="955"/>
      <c r="AE130" s="956"/>
      <c r="AF130" s="566"/>
      <c r="AG130" s="566"/>
      <c r="AH130" s="566"/>
      <c r="AI130" s="566"/>
      <c r="AJ130" s="566"/>
      <c r="AK130" s="566"/>
      <c r="AL130" s="566">
        <f>SUM(N130,S130,Y130)</f>
        <v>32057.699831894635</v>
      </c>
      <c r="AM130" s="566"/>
      <c r="AN130" s="957"/>
    </row>
    <row r="131" spans="2:40" s="954" customFormat="1" ht="20.25">
      <c r="B131" s="954" t="s">
        <v>345</v>
      </c>
      <c r="N131" s="566">
        <v>16771</v>
      </c>
      <c r="O131" s="566"/>
      <c r="P131" s="566"/>
      <c r="Q131" s="566"/>
      <c r="R131" s="566"/>
      <c r="S131" s="566">
        <v>15900</v>
      </c>
      <c r="T131" s="566"/>
      <c r="U131" s="566"/>
      <c r="V131" s="566"/>
      <c r="W131" s="566"/>
      <c r="X131" s="566"/>
      <c r="Y131" s="566">
        <v>2269</v>
      </c>
      <c r="Z131" s="566"/>
      <c r="AA131" s="566"/>
      <c r="AB131" s="566"/>
      <c r="AC131" s="566"/>
      <c r="AD131" s="955"/>
      <c r="AE131" s="956"/>
      <c r="AF131" s="566"/>
      <c r="AG131" s="566"/>
      <c r="AH131" s="566"/>
      <c r="AI131" s="566"/>
      <c r="AJ131" s="566"/>
      <c r="AK131" s="566"/>
      <c r="AL131" s="566">
        <f>SUM(N131,S131,Y131)</f>
        <v>34940</v>
      </c>
      <c r="AM131" s="566"/>
      <c r="AN131" s="957"/>
    </row>
    <row r="133" spans="52:62" ht="162">
      <c r="AZ133" s="545" t="s">
        <v>602</v>
      </c>
      <c r="BC133" s="599"/>
      <c r="BD133" s="599"/>
      <c r="BE133" s="959"/>
      <c r="BF133" s="545"/>
      <c r="BG133" s="545"/>
      <c r="BH133" s="600"/>
      <c r="BI133" s="545"/>
      <c r="BJ133" s="603"/>
    </row>
    <row r="134" spans="1:62" ht="28.5" customHeight="1">
      <c r="A134" s="546">
        <v>12</v>
      </c>
      <c r="B134" s="546" t="s">
        <v>332</v>
      </c>
      <c r="J134" s="546">
        <v>253.2</v>
      </c>
      <c r="K134" s="885">
        <f>+J134*-391/14676</f>
        <v>-6.7457890433360586</v>
      </c>
      <c r="BD134" s="604"/>
      <c r="BE134" s="605"/>
      <c r="BF134" s="605"/>
      <c r="BG134" s="608"/>
      <c r="BH134" s="605"/>
      <c r="BI134" s="605"/>
      <c r="BJ134" s="608"/>
    </row>
    <row r="135" spans="1:62" ht="28.5" customHeight="1">
      <c r="A135" s="546">
        <v>13</v>
      </c>
      <c r="B135" s="546" t="s">
        <v>215</v>
      </c>
      <c r="J135" s="546">
        <v>1601.2</v>
      </c>
      <c r="K135" s="885">
        <f aca="true" t="shared" si="43" ref="K135:K148">+J135*-391/14676</f>
        <v>-42.65938947942219</v>
      </c>
      <c r="AZ135" s="547">
        <f aca="true" t="shared" si="44" ref="AZ135:AZ151">(+AX6-AT6)/AS6</f>
        <v>0.14614826009587906</v>
      </c>
      <c r="BC135" s="609"/>
      <c r="BD135" s="609"/>
      <c r="BE135" s="610"/>
      <c r="BF135" s="610"/>
      <c r="BG135" s="613"/>
      <c r="BH135" s="610"/>
      <c r="BI135" s="610"/>
      <c r="BJ135" s="613"/>
    </row>
    <row r="136" spans="1:62" ht="28.5" customHeight="1">
      <c r="A136" s="546">
        <v>14</v>
      </c>
      <c r="B136" s="546" t="s">
        <v>333</v>
      </c>
      <c r="J136" s="546">
        <v>6920.1</v>
      </c>
      <c r="K136" s="885">
        <f t="shared" si="43"/>
        <v>-184.36625102207685</v>
      </c>
      <c r="AZ136" s="547">
        <f t="shared" si="44"/>
        <v>0.10141228332729142</v>
      </c>
      <c r="BC136" s="609"/>
      <c r="BD136" s="609"/>
      <c r="BE136" s="610"/>
      <c r="BF136" s="610"/>
      <c r="BG136" s="613"/>
      <c r="BH136" s="610"/>
      <c r="BI136" s="610"/>
      <c r="BJ136" s="613"/>
    </row>
    <row r="137" spans="1:62" ht="28.5" customHeight="1">
      <c r="A137" s="546">
        <v>15</v>
      </c>
      <c r="B137" s="546" t="s">
        <v>334</v>
      </c>
      <c r="J137" s="546">
        <v>608.8</v>
      </c>
      <c r="K137" s="885">
        <f t="shared" si="43"/>
        <v>-16.219732897247205</v>
      </c>
      <c r="AZ137" s="547">
        <f t="shared" si="44"/>
        <v>0.09558041941803364</v>
      </c>
      <c r="BC137" s="609"/>
      <c r="BD137" s="609"/>
      <c r="BE137" s="610"/>
      <c r="BF137" s="610"/>
      <c r="BG137" s="613"/>
      <c r="BH137" s="610"/>
      <c r="BI137" s="610"/>
      <c r="BJ137" s="613"/>
    </row>
    <row r="138" spans="1:62" ht="28.5" customHeight="1">
      <c r="A138" s="546">
        <v>16</v>
      </c>
      <c r="B138" s="546" t="s">
        <v>216</v>
      </c>
      <c r="J138" s="546">
        <v>171</v>
      </c>
      <c r="K138" s="885">
        <f t="shared" si="43"/>
        <v>-4.555805396565821</v>
      </c>
      <c r="AZ138" s="547">
        <f t="shared" si="44"/>
        <v>0.23576272790816483</v>
      </c>
      <c r="BC138" s="609"/>
      <c r="BD138" s="609"/>
      <c r="BE138" s="610"/>
      <c r="BF138" s="610"/>
      <c r="BG138" s="613"/>
      <c r="BH138" s="610"/>
      <c r="BI138" s="610"/>
      <c r="BJ138" s="613"/>
    </row>
    <row r="139" spans="1:62" ht="28.5" customHeight="1">
      <c r="A139" s="546">
        <v>17</v>
      </c>
      <c r="B139" s="546" t="s">
        <v>335</v>
      </c>
      <c r="J139" s="546">
        <v>59.2</v>
      </c>
      <c r="K139" s="885">
        <f t="shared" si="43"/>
        <v>-1.5772144998637232</v>
      </c>
      <c r="AZ139" s="547">
        <f t="shared" si="44"/>
        <v>0.14614826009587906</v>
      </c>
      <c r="BC139" s="609"/>
      <c r="BD139" s="609"/>
      <c r="BE139" s="610"/>
      <c r="BF139" s="610"/>
      <c r="BG139" s="613"/>
      <c r="BH139" s="610"/>
      <c r="BI139" s="610"/>
      <c r="BJ139" s="613"/>
    </row>
    <row r="140" spans="1:62" ht="28.5" customHeight="1">
      <c r="A140" s="546">
        <v>18</v>
      </c>
      <c r="B140" s="546" t="s">
        <v>217</v>
      </c>
      <c r="J140" s="546">
        <v>2678.8</v>
      </c>
      <c r="K140" s="885">
        <f t="shared" si="43"/>
        <v>-71.36895611883347</v>
      </c>
      <c r="AZ140" s="547">
        <f t="shared" si="44"/>
        <v>0.1796054532966332</v>
      </c>
      <c r="BC140" s="609"/>
      <c r="BD140" s="609"/>
      <c r="BE140" s="610"/>
      <c r="BF140" s="610"/>
      <c r="BG140" s="613"/>
      <c r="BH140" s="610"/>
      <c r="BI140" s="610"/>
      <c r="BJ140" s="613"/>
    </row>
    <row r="141" spans="1:62" ht="28.5" customHeight="1">
      <c r="A141" s="546">
        <v>19</v>
      </c>
      <c r="B141" s="546" t="s">
        <v>336</v>
      </c>
      <c r="J141" s="546">
        <v>208.3</v>
      </c>
      <c r="K141" s="885">
        <f t="shared" si="43"/>
        <v>-5.549557100027256</v>
      </c>
      <c r="AZ141" s="547">
        <f t="shared" si="44"/>
        <v>0.30645834743406275</v>
      </c>
      <c r="BC141" s="609"/>
      <c r="BD141" s="609"/>
      <c r="BE141" s="610"/>
      <c r="BF141" s="610"/>
      <c r="BG141" s="613"/>
      <c r="BH141" s="610"/>
      <c r="BI141" s="610"/>
      <c r="BJ141" s="613"/>
    </row>
    <row r="142" spans="1:62" ht="28.5" customHeight="1">
      <c r="A142" s="546">
        <v>2</v>
      </c>
      <c r="B142" s="546" t="s">
        <v>337</v>
      </c>
      <c r="J142" s="546">
        <v>0</v>
      </c>
      <c r="K142" s="885">
        <f t="shared" si="43"/>
        <v>0</v>
      </c>
      <c r="AZ142" s="547">
        <f t="shared" si="44"/>
        <v>0.05845930403835163</v>
      </c>
      <c r="BC142" s="609"/>
      <c r="BD142" s="609"/>
      <c r="BE142" s="616"/>
      <c r="BF142" s="616"/>
      <c r="BG142" s="619"/>
      <c r="BH142" s="616"/>
      <c r="BI142" s="616"/>
      <c r="BJ142" s="619"/>
    </row>
    <row r="143" spans="1:62" ht="28.5" customHeight="1">
      <c r="A143" s="546">
        <v>3</v>
      </c>
      <c r="B143" s="546" t="s">
        <v>338</v>
      </c>
      <c r="J143" s="546">
        <v>142.9</v>
      </c>
      <c r="K143" s="885">
        <f t="shared" si="43"/>
        <v>-3.807161351866994</v>
      </c>
      <c r="AZ143" s="547">
        <f t="shared" si="44"/>
        <v>0.16151428582152805</v>
      </c>
      <c r="BC143" s="599"/>
      <c r="BD143" s="599"/>
      <c r="BE143" s="621"/>
      <c r="BF143" s="621"/>
      <c r="BG143" s="624"/>
      <c r="BH143" s="621"/>
      <c r="BI143" s="621"/>
      <c r="BJ143" s="624"/>
    </row>
    <row r="144" spans="1:62" ht="28.5" customHeight="1">
      <c r="A144" s="546">
        <v>4</v>
      </c>
      <c r="B144" s="546" t="s">
        <v>339</v>
      </c>
      <c r="J144" s="546">
        <v>0</v>
      </c>
      <c r="K144" s="885">
        <f t="shared" si="43"/>
        <v>0</v>
      </c>
      <c r="AZ144" s="547">
        <f t="shared" si="44"/>
        <v>0.08768895605752743</v>
      </c>
      <c r="BC144" s="599"/>
      <c r="BD144" s="599"/>
      <c r="BE144" s="621"/>
      <c r="BF144" s="621"/>
      <c r="BG144" s="624"/>
      <c r="BH144" s="621"/>
      <c r="BI144" s="621"/>
      <c r="BJ144" s="624"/>
    </row>
    <row r="145" spans="1:62" ht="28.5" customHeight="1">
      <c r="A145" s="546">
        <v>5</v>
      </c>
      <c r="B145" s="546" t="s">
        <v>340</v>
      </c>
      <c r="J145" s="546">
        <v>0</v>
      </c>
      <c r="K145" s="885">
        <f t="shared" si="43"/>
        <v>0</v>
      </c>
      <c r="AZ145" s="547">
        <f t="shared" si="44"/>
        <v>0.09642087703441074</v>
      </c>
      <c r="BC145" s="599"/>
      <c r="BD145" s="599"/>
      <c r="BE145" s="621"/>
      <c r="BF145" s="621"/>
      <c r="BG145" s="624"/>
      <c r="BH145" s="621"/>
      <c r="BI145" s="621"/>
      <c r="BJ145" s="624"/>
    </row>
    <row r="146" spans="1:62" ht="28.5" customHeight="1">
      <c r="A146" s="546">
        <v>6</v>
      </c>
      <c r="B146" s="546" t="s">
        <v>341</v>
      </c>
      <c r="J146" s="546">
        <v>0</v>
      </c>
      <c r="K146" s="885">
        <f t="shared" si="43"/>
        <v>0</v>
      </c>
      <c r="AZ146" s="547">
        <f t="shared" si="44"/>
        <v>0.0779856699364076</v>
      </c>
      <c r="BC146" s="599"/>
      <c r="BD146" s="599"/>
      <c r="BE146" s="621"/>
      <c r="BF146" s="621"/>
      <c r="BG146" s="624"/>
      <c r="BH146" s="621"/>
      <c r="BI146" s="621"/>
      <c r="BJ146" s="624"/>
    </row>
    <row r="147" spans="1:62" ht="28.5" customHeight="1">
      <c r="A147" s="546">
        <v>7</v>
      </c>
      <c r="B147" s="546" t="s">
        <v>342</v>
      </c>
      <c r="J147" s="546">
        <v>34.5</v>
      </c>
      <c r="K147" s="885">
        <f t="shared" si="43"/>
        <v>-0.919153720359771</v>
      </c>
      <c r="AZ147" s="547">
        <f t="shared" si="44"/>
        <v>0.08768895605752743</v>
      </c>
      <c r="BC147" s="599"/>
      <c r="BD147" s="599"/>
      <c r="BE147" s="621"/>
      <c r="BF147" s="621"/>
      <c r="BG147" s="624"/>
      <c r="BH147" s="621"/>
      <c r="BI147" s="621"/>
      <c r="BJ147" s="624"/>
    </row>
    <row r="148" spans="1:62" ht="28.5" customHeight="1">
      <c r="A148" s="546">
        <v>8</v>
      </c>
      <c r="B148" s="546" t="s">
        <v>343</v>
      </c>
      <c r="J148" s="546">
        <v>1998.3</v>
      </c>
      <c r="K148" s="885">
        <f t="shared" si="43"/>
        <v>-53.238982011447256</v>
      </c>
      <c r="AZ148" s="547">
        <f t="shared" si="44"/>
        <v>0.15817504399960244</v>
      </c>
      <c r="BC148" s="599"/>
      <c r="BD148" s="599"/>
      <c r="BE148" s="621"/>
      <c r="BF148" s="621"/>
      <c r="BG148" s="624"/>
      <c r="BH148" s="621"/>
      <c r="BI148" s="621"/>
      <c r="BJ148" s="624"/>
    </row>
    <row r="149" spans="11:62" ht="28.5" customHeight="1">
      <c r="K149" s="546">
        <f>SUM(K134:K148)</f>
        <v>-391.00799264104654</v>
      </c>
      <c r="AZ149" s="547">
        <f t="shared" si="44"/>
        <v>0.17873853714499124</v>
      </c>
      <c r="BC149" s="599"/>
      <c r="BD149" s="599"/>
      <c r="BE149" s="621"/>
      <c r="BF149" s="621"/>
      <c r="BG149" s="624"/>
      <c r="BH149" s="621"/>
      <c r="BI149" s="621"/>
      <c r="BJ149" s="624"/>
    </row>
    <row r="150" spans="52:62" ht="28.5" customHeight="1" thickBot="1">
      <c r="AZ150" s="547">
        <f t="shared" si="44"/>
        <v>0.10324529899305107</v>
      </c>
      <c r="BC150" s="599"/>
      <c r="BD150" s="599"/>
      <c r="BE150" s="960"/>
      <c r="BF150" s="960"/>
      <c r="BG150" s="961"/>
      <c r="BH150" s="960"/>
      <c r="BI150" s="960"/>
      <c r="BJ150" s="961"/>
    </row>
    <row r="151" spans="52:62" ht="21" thickTop="1">
      <c r="AZ151" s="547">
        <f t="shared" si="44"/>
        <v>0.14775152138611866</v>
      </c>
      <c r="BC151" s="599"/>
      <c r="BD151" s="599"/>
      <c r="BE151" s="621"/>
      <c r="BF151" s="621"/>
      <c r="BG151" s="624"/>
      <c r="BH151" s="621"/>
      <c r="BI151" s="621"/>
      <c r="BJ151" s="624"/>
    </row>
    <row r="153" ht="21" thickBot="1">
      <c r="AV153" s="546">
        <v>60269</v>
      </c>
    </row>
    <row r="154" spans="10:62" ht="28.5" customHeight="1">
      <c r="J154" s="779" t="s">
        <v>92</v>
      </c>
      <c r="K154" s="560"/>
      <c r="L154" s="560"/>
      <c r="M154" s="780"/>
      <c r="N154" s="780"/>
      <c r="O154" s="779" t="s">
        <v>93</v>
      </c>
      <c r="P154" s="560"/>
      <c r="Q154" s="560"/>
      <c r="R154" s="781"/>
      <c r="S154" s="782"/>
      <c r="T154" s="783"/>
      <c r="U154" s="784" t="s">
        <v>94</v>
      </c>
      <c r="V154" s="784"/>
      <c r="W154" s="784"/>
      <c r="X154" s="785"/>
      <c r="Y154" s="786"/>
      <c r="Z154" s="787"/>
      <c r="AA154" s="925" t="s">
        <v>95</v>
      </c>
      <c r="AB154" s="926"/>
      <c r="AC154" s="926"/>
      <c r="AD154" s="560"/>
      <c r="AE154" s="927"/>
      <c r="AF154" s="560"/>
      <c r="AG154" s="560"/>
      <c r="AH154" s="560"/>
      <c r="AI154" s="560"/>
      <c r="AJ154" s="560"/>
      <c r="AK154" s="560"/>
      <c r="AL154" s="560"/>
      <c r="AM154" s="792"/>
      <c r="AN154" s="793"/>
      <c r="AQ154" s="599"/>
      <c r="AR154" s="599"/>
      <c r="AS154" s="962"/>
      <c r="AT154" s="849"/>
      <c r="AU154" s="849"/>
      <c r="AV154" s="962"/>
      <c r="AW154" s="963"/>
      <c r="AX154" s="962"/>
      <c r="AY154" s="963"/>
      <c r="AZ154" s="547"/>
      <c r="BC154" s="599"/>
      <c r="BD154" s="599"/>
      <c r="BE154" s="962"/>
      <c r="BF154" s="962"/>
      <c r="BG154" s="963"/>
      <c r="BH154" s="962"/>
      <c r="BI154" s="962"/>
      <c r="BJ154" s="963"/>
    </row>
    <row r="155" spans="10:64" ht="91.5" thickBot="1">
      <c r="J155" s="964" t="s">
        <v>597</v>
      </c>
      <c r="K155" s="808" t="s">
        <v>250</v>
      </c>
      <c r="L155" s="808" t="s">
        <v>251</v>
      </c>
      <c r="M155" s="809" t="s">
        <v>328</v>
      </c>
      <c r="N155" s="810" t="s">
        <v>344</v>
      </c>
      <c r="O155" s="811" t="s">
        <v>461</v>
      </c>
      <c r="P155" s="808" t="s">
        <v>250</v>
      </c>
      <c r="Q155" s="808" t="s">
        <v>251</v>
      </c>
      <c r="R155" s="809" t="s">
        <v>328</v>
      </c>
      <c r="S155" s="810" t="s">
        <v>344</v>
      </c>
      <c r="T155" s="812" t="s">
        <v>330</v>
      </c>
      <c r="U155" s="811" t="s">
        <v>461</v>
      </c>
      <c r="V155" s="808" t="s">
        <v>250</v>
      </c>
      <c r="W155" s="808" t="s">
        <v>251</v>
      </c>
      <c r="X155" s="809" t="s">
        <v>328</v>
      </c>
      <c r="Y155" s="810" t="s">
        <v>344</v>
      </c>
      <c r="Z155" s="813" t="s">
        <v>330</v>
      </c>
      <c r="AA155" s="814" t="s">
        <v>597</v>
      </c>
      <c r="AB155" s="816" t="s">
        <v>250</v>
      </c>
      <c r="AC155" s="816"/>
      <c r="AD155" s="817" t="s">
        <v>251</v>
      </c>
      <c r="AE155" s="818" t="s">
        <v>328</v>
      </c>
      <c r="AF155" s="552"/>
      <c r="AG155" s="552"/>
      <c r="AH155" s="552"/>
      <c r="AI155" s="552"/>
      <c r="AJ155" s="552"/>
      <c r="AK155" s="552"/>
      <c r="AL155" s="813" t="s">
        <v>329</v>
      </c>
      <c r="AM155" s="812" t="s">
        <v>330</v>
      </c>
      <c r="AN155" s="812" t="s">
        <v>603</v>
      </c>
      <c r="AO155" s="552" t="s">
        <v>604</v>
      </c>
      <c r="AP155" s="819" t="s">
        <v>601</v>
      </c>
      <c r="AS155" s="599"/>
      <c r="AT155" s="624" t="e">
        <f>+#REF!/AW155</f>
        <v>#REF!</v>
      </c>
      <c r="AU155" s="624"/>
      <c r="AV155" s="599"/>
      <c r="AW155" s="621">
        <f>SUM(AS14:AS21)</f>
        <v>27068.31509521742</v>
      </c>
      <c r="AX155" s="621" t="e">
        <f>SUM(#REF!)</f>
        <v>#REF!</v>
      </c>
      <c r="AY155" s="846">
        <f>SUM(AT14:AT21)</f>
        <v>990</v>
      </c>
      <c r="AZ155" s="621" t="e">
        <f>SUM(AX155,#REF!)</f>
        <v>#REF!</v>
      </c>
      <c r="BA155" s="624" t="e">
        <f>+AZ155/AW155</f>
        <v>#REF!</v>
      </c>
      <c r="BB155" s="547" t="e">
        <f>(+AZ155-AY155)/AW155</f>
        <v>#REF!</v>
      </c>
      <c r="BE155" s="599"/>
      <c r="BF155" s="599"/>
      <c r="BG155" s="621"/>
      <c r="BH155" s="621"/>
      <c r="BI155" s="624"/>
      <c r="BJ155" s="621"/>
      <c r="BK155" s="621"/>
      <c r="BL155" s="624"/>
    </row>
    <row r="156" spans="1:42" ht="20.25">
      <c r="A156" s="965" t="s">
        <v>605</v>
      </c>
      <c r="B156" s="966"/>
      <c r="AN156" s="565"/>
      <c r="AO156" s="565"/>
      <c r="AP156" s="958"/>
    </row>
    <row r="157" spans="1:42" ht="20.25">
      <c r="A157" s="967" t="s">
        <v>606</v>
      </c>
      <c r="B157" s="968"/>
      <c r="C157" s="969"/>
      <c r="D157" s="969"/>
      <c r="E157" s="969"/>
      <c r="F157" s="969"/>
      <c r="G157" s="969"/>
      <c r="H157" s="969"/>
      <c r="I157" s="969"/>
      <c r="J157" s="970">
        <f>SUM(J158:J160)</f>
        <v>5042.646782039028</v>
      </c>
      <c r="K157" s="970">
        <f>SUM(K158:K160)</f>
        <v>619</v>
      </c>
      <c r="L157" s="970">
        <f>SUM(L158:L160)</f>
        <v>5661.646782039028</v>
      </c>
      <c r="M157" s="567">
        <f>N157/L157</f>
        <v>0.09174098857071468</v>
      </c>
      <c r="N157" s="970">
        <f>SUM(N158:N160)</f>
        <v>519.405072722466</v>
      </c>
      <c r="O157" s="970">
        <f>SUM(O158:O160)</f>
        <v>3918.5</v>
      </c>
      <c r="P157" s="970">
        <f>SUM(P158:P160)</f>
        <v>86.3</v>
      </c>
      <c r="Q157" s="970">
        <f>SUM(Q158:Q160)</f>
        <v>4004.7999999999997</v>
      </c>
      <c r="R157" s="567">
        <f aca="true" t="shared" si="45" ref="R157:R181">S157/Q157</f>
        <v>0.3613268577706752</v>
      </c>
      <c r="S157" s="970">
        <f>SUM(S158:S160)</f>
        <v>1447.0418</v>
      </c>
      <c r="T157" s="970">
        <f>SUM(T158:T160)</f>
        <v>1150</v>
      </c>
      <c r="U157" s="970">
        <f>SUM(U158:U160)</f>
        <v>1136.5</v>
      </c>
      <c r="V157" s="970">
        <f>SUM(V158:V160)</f>
        <v>-11.5</v>
      </c>
      <c r="W157" s="970">
        <f>SUM(W158:W160)</f>
        <v>1125</v>
      </c>
      <c r="X157" s="567">
        <f aca="true" t="shared" si="46" ref="X157:X181">Y157/W157</f>
        <v>0.1269297925834047</v>
      </c>
      <c r="Y157" s="970">
        <f>SUM(Y158:Y160)</f>
        <v>142.7960166563303</v>
      </c>
      <c r="Z157" s="970">
        <f>SUM(Z158:Z160)</f>
        <v>1800</v>
      </c>
      <c r="AA157" s="971">
        <f>SUM(J157:J157,O157,U157)</f>
        <v>10097.646782039028</v>
      </c>
      <c r="AB157" s="971">
        <f>SUM(K157:K157,P157,V157)</f>
        <v>693.8</v>
      </c>
      <c r="AC157" s="971"/>
      <c r="AD157" s="970">
        <f>SUM(AD158:AD160)</f>
        <v>10791.446782039027</v>
      </c>
      <c r="AE157" s="547">
        <f aca="true" t="shared" si="47" ref="AE157:AE181">AL157/AD157</f>
        <v>0.1954550610293848</v>
      </c>
      <c r="AF157" s="567"/>
      <c r="AG157" s="567"/>
      <c r="AH157" s="567"/>
      <c r="AI157" s="567"/>
      <c r="AJ157" s="567"/>
      <c r="AK157" s="567"/>
      <c r="AL157" s="970">
        <f>SUM(AL158:AL160)</f>
        <v>2109.2428893787965</v>
      </c>
      <c r="AM157" s="970">
        <f>SUM(AM158:AM160)</f>
        <v>2950</v>
      </c>
      <c r="AN157" s="970">
        <f>SUM(AN158:AN160)</f>
        <v>5059.2428893787965</v>
      </c>
      <c r="AO157" s="567">
        <f>AN157/AD157</f>
        <v>0.46881970430501074</v>
      </c>
      <c r="AP157" s="970">
        <f>SUM(AP158:AP160)</f>
        <v>1138</v>
      </c>
    </row>
    <row r="158" spans="1:42" ht="36">
      <c r="A158" s="972"/>
      <c r="B158" s="973" t="s">
        <v>607</v>
      </c>
      <c r="J158" s="974">
        <f>J29+J41+J42+J43</f>
        <v>3168.8453169490276</v>
      </c>
      <c r="K158" s="974">
        <f>K29+K41+K42+K43</f>
        <v>619</v>
      </c>
      <c r="L158" s="975">
        <f>SUM(J158:K158)</f>
        <v>3787.8453169490276</v>
      </c>
      <c r="M158" s="567">
        <f>N158/L158</f>
        <v>0.056427924716082656</v>
      </c>
      <c r="N158" s="974">
        <f>N29+N41+N42+N43</f>
        <v>213.740250380966</v>
      </c>
      <c r="O158" s="974">
        <f>O29+O41+O42+O43</f>
        <v>507</v>
      </c>
      <c r="P158" s="974">
        <f>P29+P41+P42+P43</f>
        <v>98</v>
      </c>
      <c r="Q158" s="975">
        <f>SUM(O158:P158)</f>
        <v>605</v>
      </c>
      <c r="R158" s="567">
        <f t="shared" si="45"/>
        <v>0.35861157024793383</v>
      </c>
      <c r="S158" s="974">
        <f>S29+S41+S42+S43</f>
        <v>216.95999999999998</v>
      </c>
      <c r="T158" s="974">
        <f>T29+T41+T42+T43</f>
        <v>250</v>
      </c>
      <c r="U158" s="974">
        <f>U29+U41+U42+U43</f>
        <v>0</v>
      </c>
      <c r="V158" s="974">
        <f>V29+V41+V42+V43</f>
        <v>0</v>
      </c>
      <c r="W158" s="975">
        <f>SUM(U158:V158)</f>
        <v>0</v>
      </c>
      <c r="X158" s="567"/>
      <c r="Y158" s="974">
        <f>Y29+Y41+Y42+Y43</f>
        <v>0</v>
      </c>
      <c r="Z158" s="974">
        <f>Z29+Z41+Z42+Z43</f>
        <v>0</v>
      </c>
      <c r="AA158" s="971">
        <f aca="true" t="shared" si="48" ref="AA158:AB173">SUM(J158:J158,O158,U158)</f>
        <v>3675.8453169490276</v>
      </c>
      <c r="AB158" s="971">
        <f t="shared" si="48"/>
        <v>717</v>
      </c>
      <c r="AC158" s="971"/>
      <c r="AD158" s="975">
        <f>SUM(AA158:AB158)</f>
        <v>4392.845316949028</v>
      </c>
      <c r="AE158" s="547">
        <f t="shared" si="47"/>
        <v>0.09804584939951884</v>
      </c>
      <c r="AF158" s="567"/>
      <c r="AG158" s="567"/>
      <c r="AH158" s="567"/>
      <c r="AI158" s="567"/>
      <c r="AJ158" s="567"/>
      <c r="AK158" s="567"/>
      <c r="AL158" s="976">
        <f>SUM(N158:N158,S158,Y158)</f>
        <v>430.70025038096594</v>
      </c>
      <c r="AM158" s="977">
        <f aca="true" t="shared" si="49" ref="AM158:AM180">SUM(Z158,T158)</f>
        <v>250</v>
      </c>
      <c r="AN158" s="977">
        <f>AL158+AM158</f>
        <v>680.7002503809659</v>
      </c>
      <c r="AO158" s="567">
        <f aca="true" t="shared" si="50" ref="AO158:AO181">AN158/AD158</f>
        <v>0.15495657171323624</v>
      </c>
      <c r="AP158" s="974">
        <f>AN29+AN41+AN42+AN43</f>
        <v>394</v>
      </c>
    </row>
    <row r="159" spans="1:52" ht="36">
      <c r="A159" s="972"/>
      <c r="B159" s="973" t="s">
        <v>608</v>
      </c>
      <c r="J159" s="974">
        <f>J56+J51+J54+J53</f>
        <v>1841.84552909</v>
      </c>
      <c r="K159" s="974">
        <f>K56+K51+K54+K53</f>
        <v>0</v>
      </c>
      <c r="L159" s="975">
        <f>SUM(J159:K159)</f>
        <v>1841.84552909</v>
      </c>
      <c r="M159" s="567">
        <f aca="true" t="shared" si="51" ref="M159:M181">N159/L159</f>
        <v>0.1650882339148877</v>
      </c>
      <c r="N159" s="974">
        <f>N56+N51+N54+N53</f>
        <v>304.0670255415</v>
      </c>
      <c r="O159" s="974">
        <f>O56+O51+O54+O53</f>
        <v>1693.4</v>
      </c>
      <c r="P159" s="974">
        <f>P56+P51+P54+P53</f>
        <v>-11.7</v>
      </c>
      <c r="Q159" s="975">
        <f>SUM(O159:P159)</f>
        <v>1681.7</v>
      </c>
      <c r="R159" s="567">
        <f t="shared" si="45"/>
        <v>0.4026293631444372</v>
      </c>
      <c r="S159" s="974">
        <f>S56+S51+S54+S53</f>
        <v>677.1018</v>
      </c>
      <c r="T159" s="974">
        <f>T56+T51+T54+T53</f>
        <v>600</v>
      </c>
      <c r="U159" s="974">
        <f>U56+U51+U54+U53</f>
        <v>11.5</v>
      </c>
      <c r="V159" s="974">
        <f>V56+V51+V54+V53</f>
        <v>-11.5</v>
      </c>
      <c r="W159" s="975">
        <f>SUM(U159:V159)</f>
        <v>0</v>
      </c>
      <c r="X159" s="567"/>
      <c r="Y159" s="974">
        <f>Y56+Y51+Y54+Y53</f>
        <v>0</v>
      </c>
      <c r="Z159" s="974">
        <f>Z56+Z51+Z54+Z53</f>
        <v>700</v>
      </c>
      <c r="AA159" s="971">
        <f t="shared" si="48"/>
        <v>3546.7455290899998</v>
      </c>
      <c r="AB159" s="971">
        <f t="shared" si="48"/>
        <v>-23.2</v>
      </c>
      <c r="AC159" s="971"/>
      <c r="AD159" s="975">
        <f>SUM(AA159:AB159)</f>
        <v>3523.54552909</v>
      </c>
      <c r="AE159" s="547">
        <f t="shared" si="47"/>
        <v>0.27846066339744424</v>
      </c>
      <c r="AF159" s="567"/>
      <c r="AG159" s="567"/>
      <c r="AH159" s="567"/>
      <c r="AI159" s="567"/>
      <c r="AJ159" s="567"/>
      <c r="AK159" s="567"/>
      <c r="AL159" s="976">
        <f>SUM(N159:N159,S159,Y159)</f>
        <v>981.1688255415</v>
      </c>
      <c r="AM159" s="977">
        <f t="shared" si="49"/>
        <v>1300</v>
      </c>
      <c r="AN159" s="977">
        <f>AL159+AM159</f>
        <v>2281.1688255415</v>
      </c>
      <c r="AO159" s="567">
        <f t="shared" si="50"/>
        <v>0.6474072228408642</v>
      </c>
      <c r="AP159" s="974">
        <f>AN56+AN51+AN54+AN53</f>
        <v>744</v>
      </c>
      <c r="AT159" s="609"/>
      <c r="AU159" s="609"/>
      <c r="AX159" s="609"/>
      <c r="AZ159" s="978" t="e">
        <f>SUM(AZ155,AW155,#REF!)</f>
        <v>#REF!</v>
      </c>
    </row>
    <row r="160" spans="1:42" ht="20.25">
      <c r="A160" s="972"/>
      <c r="B160" s="973" t="s">
        <v>609</v>
      </c>
      <c r="J160" s="974">
        <f>SUM(J83:J88)</f>
        <v>31.95593599999995</v>
      </c>
      <c r="K160" s="974">
        <f>SUM(K83:K88)</f>
        <v>0</v>
      </c>
      <c r="L160" s="975">
        <f>SUM(J160:K160)</f>
        <v>31.95593599999995</v>
      </c>
      <c r="M160" s="567">
        <f t="shared" si="51"/>
        <v>0.05</v>
      </c>
      <c r="N160" s="974">
        <f>SUM(N83:N88)</f>
        <v>1.5977967999999976</v>
      </c>
      <c r="O160" s="974">
        <f>SUM(O83:O88)</f>
        <v>1718.1</v>
      </c>
      <c r="P160" s="974">
        <f>SUM(P83:P88)</f>
        <v>0</v>
      </c>
      <c r="Q160" s="975">
        <f>SUM(O160:P160)</f>
        <v>1718.1</v>
      </c>
      <c r="R160" s="567">
        <f t="shared" si="45"/>
        <v>0.32185553809440665</v>
      </c>
      <c r="S160" s="974">
        <f>SUM(S83:S88)</f>
        <v>552.98</v>
      </c>
      <c r="T160" s="974">
        <f>SUM(T83:T88)</f>
        <v>300</v>
      </c>
      <c r="U160" s="974">
        <f>SUM(U83:U88)</f>
        <v>1125</v>
      </c>
      <c r="V160" s="974">
        <f>SUM(V83:V88)</f>
        <v>0</v>
      </c>
      <c r="W160" s="975">
        <f>SUM(U160:V160)</f>
        <v>1125</v>
      </c>
      <c r="X160" s="567">
        <f t="shared" si="46"/>
        <v>0.1269297925834047</v>
      </c>
      <c r="Y160" s="974">
        <f>SUM(Y83:Y88)</f>
        <v>142.7960166563303</v>
      </c>
      <c r="Z160" s="974">
        <f>SUM(Z83:Z88)</f>
        <v>1100</v>
      </c>
      <c r="AA160" s="971">
        <f t="shared" si="48"/>
        <v>2875.0559359999997</v>
      </c>
      <c r="AB160" s="971">
        <f t="shared" si="48"/>
        <v>0</v>
      </c>
      <c r="AC160" s="971"/>
      <c r="AD160" s="975">
        <f>SUM(AA160:AB160)</f>
        <v>2875.0559359999997</v>
      </c>
      <c r="AE160" s="547">
        <f t="shared" si="47"/>
        <v>0.24256008543144056</v>
      </c>
      <c r="AF160" s="567"/>
      <c r="AG160" s="567"/>
      <c r="AH160" s="567"/>
      <c r="AI160" s="567"/>
      <c r="AJ160" s="567"/>
      <c r="AK160" s="567"/>
      <c r="AL160" s="976">
        <f>SUM(N160:N160,S160,Y160)</f>
        <v>697.3738134563303</v>
      </c>
      <c r="AM160" s="977">
        <f t="shared" si="49"/>
        <v>1400</v>
      </c>
      <c r="AN160" s="977">
        <f>AL160+AM160</f>
        <v>2097.37381345633</v>
      </c>
      <c r="AO160" s="567">
        <f t="shared" si="50"/>
        <v>0.729507133128811</v>
      </c>
      <c r="AP160" s="974">
        <f>SUM(AN83:AN88)</f>
        <v>0</v>
      </c>
    </row>
    <row r="161" spans="1:42" ht="20.25">
      <c r="A161" s="979" t="s">
        <v>610</v>
      </c>
      <c r="B161" s="968"/>
      <c r="C161" s="969"/>
      <c r="D161" s="969"/>
      <c r="E161" s="969"/>
      <c r="F161" s="969"/>
      <c r="G161" s="969"/>
      <c r="H161" s="969"/>
      <c r="I161" s="969"/>
      <c r="J161" s="970">
        <f>SUM(J162:J171)</f>
        <v>3825.0661521799993</v>
      </c>
      <c r="K161" s="970">
        <f>SUM(K162:K171)</f>
        <v>498</v>
      </c>
      <c r="L161" s="970">
        <f>SUM(L162:L171)</f>
        <v>4323.066152179999</v>
      </c>
      <c r="M161" s="567">
        <f t="shared" si="51"/>
        <v>0.1589503843682772</v>
      </c>
      <c r="N161" s="970">
        <f>SUM(N162:N171)</f>
        <v>687.1530265385</v>
      </c>
      <c r="O161" s="970">
        <f>SUM(O162:O171)</f>
        <v>4143.5</v>
      </c>
      <c r="P161" s="970">
        <f>SUM(P162:P171)</f>
        <v>0</v>
      </c>
      <c r="Q161" s="970">
        <f>SUM(Q162:Q171)</f>
        <v>4143.5</v>
      </c>
      <c r="R161" s="567">
        <f t="shared" si="45"/>
        <v>0.31733655122481</v>
      </c>
      <c r="S161" s="970">
        <f>SUM(S162:S171)</f>
        <v>1314.8840000000002</v>
      </c>
      <c r="T161" s="970">
        <f>SUM(T162:T171)</f>
        <v>1555</v>
      </c>
      <c r="U161" s="970">
        <f>SUM(U162:U171)</f>
        <v>874</v>
      </c>
      <c r="V161" s="970">
        <f>SUM(V162:V171)</f>
        <v>0</v>
      </c>
      <c r="W161" s="970">
        <f>SUM(W162:W171)</f>
        <v>874</v>
      </c>
      <c r="X161" s="567">
        <f t="shared" si="46"/>
        <v>0</v>
      </c>
      <c r="Y161" s="970">
        <f>SUM(Y162:Y171)</f>
        <v>0</v>
      </c>
      <c r="Z161" s="970">
        <f>SUM(Z162:Z171)</f>
        <v>1000.0225</v>
      </c>
      <c r="AA161" s="971">
        <f t="shared" si="48"/>
        <v>8842.56615218</v>
      </c>
      <c r="AB161" s="971">
        <f t="shared" si="48"/>
        <v>498</v>
      </c>
      <c r="AC161" s="971"/>
      <c r="AD161" s="970">
        <f>SUM(AD162:AD171)</f>
        <v>9340.56615218</v>
      </c>
      <c r="AE161" s="547">
        <f t="shared" si="47"/>
        <v>0.2143378670971934</v>
      </c>
      <c r="AF161" s="567"/>
      <c r="AG161" s="567"/>
      <c r="AH161" s="567"/>
      <c r="AI161" s="567"/>
      <c r="AJ161" s="567"/>
      <c r="AK161" s="567"/>
      <c r="AL161" s="970">
        <f>SUM(AL162:AL171)</f>
        <v>2002.0370265385</v>
      </c>
      <c r="AM161" s="970">
        <f>SUM(AM162:AM171)</f>
        <v>2555.0225</v>
      </c>
      <c r="AN161" s="970">
        <f>SUM(AN162:AN171)</f>
        <v>4557.059526538499</v>
      </c>
      <c r="AO161" s="567">
        <f t="shared" si="50"/>
        <v>0.4878782990552371</v>
      </c>
      <c r="AP161" s="970">
        <f>SUM(AP162:AP171)</f>
        <v>890</v>
      </c>
    </row>
    <row r="162" spans="1:42" ht="20.25">
      <c r="A162" s="972"/>
      <c r="B162" s="973" t="s">
        <v>611</v>
      </c>
      <c r="J162" s="974">
        <f>J9</f>
        <v>116.73726113000004</v>
      </c>
      <c r="K162" s="974">
        <f>K9</f>
        <v>0</v>
      </c>
      <c r="L162" s="975">
        <f aca="true" t="shared" si="52" ref="L162:L171">SUM(J162:K162)</f>
        <v>116.73726113000004</v>
      </c>
      <c r="M162" s="567">
        <f t="shared" si="51"/>
        <v>0.15</v>
      </c>
      <c r="N162" s="974">
        <f>N9</f>
        <v>17.510589169500005</v>
      </c>
      <c r="O162" s="974">
        <f>O9</f>
        <v>244</v>
      </c>
      <c r="P162" s="974">
        <f>P9</f>
        <v>0</v>
      </c>
      <c r="Q162" s="975">
        <f aca="true" t="shared" si="53" ref="Q162:Q171">SUM(O162:P162)</f>
        <v>244</v>
      </c>
      <c r="R162" s="567">
        <f t="shared" si="45"/>
        <v>0.15</v>
      </c>
      <c r="S162" s="974">
        <f>S9</f>
        <v>36.6</v>
      </c>
      <c r="T162" s="974">
        <f>T9</f>
        <v>0</v>
      </c>
      <c r="U162" s="974">
        <f>U9</f>
        <v>0</v>
      </c>
      <c r="V162" s="974">
        <f>V9</f>
        <v>0</v>
      </c>
      <c r="W162" s="975">
        <f aca="true" t="shared" si="54" ref="W162:W171">SUM(U162:V162)</f>
        <v>0</v>
      </c>
      <c r="X162" s="567"/>
      <c r="Y162" s="974">
        <f>Y9</f>
        <v>0</v>
      </c>
      <c r="Z162" s="974">
        <f>Z9</f>
        <v>0.0225</v>
      </c>
      <c r="AA162" s="971">
        <f t="shared" si="48"/>
        <v>360.73726113000004</v>
      </c>
      <c r="AB162" s="971">
        <f t="shared" si="48"/>
        <v>0</v>
      </c>
      <c r="AC162" s="971"/>
      <c r="AD162" s="975">
        <f aca="true" t="shared" si="55" ref="AD162:AD171">SUM(AA162:AB162)</f>
        <v>360.73726113000004</v>
      </c>
      <c r="AE162" s="547">
        <f t="shared" si="47"/>
        <v>0.15</v>
      </c>
      <c r="AF162" s="567"/>
      <c r="AG162" s="567"/>
      <c r="AH162" s="567"/>
      <c r="AI162" s="567"/>
      <c r="AJ162" s="567"/>
      <c r="AK162" s="567"/>
      <c r="AL162" s="976">
        <f aca="true" t="shared" si="56" ref="AL162:AL171">SUM(N162:N162,S162,Y162)</f>
        <v>54.1105891695</v>
      </c>
      <c r="AM162" s="977">
        <f t="shared" si="49"/>
        <v>0.0225</v>
      </c>
      <c r="AN162" s="977">
        <f aca="true" t="shared" si="57" ref="AN162:AN171">AL162+AM162</f>
        <v>54.1330891695</v>
      </c>
      <c r="AO162" s="567">
        <f t="shared" si="50"/>
        <v>0.15006237226487087</v>
      </c>
      <c r="AP162" s="974">
        <f>AN9</f>
        <v>0</v>
      </c>
    </row>
    <row r="163" spans="1:42" ht="36">
      <c r="A163" s="972"/>
      <c r="B163" s="973" t="s">
        <v>612</v>
      </c>
      <c r="J163" s="974">
        <f>SUM(J13:J14,J17:J20)</f>
        <v>398.50403</v>
      </c>
      <c r="K163" s="974">
        <f>SUM(K13:K14,K17:K20)</f>
        <v>0</v>
      </c>
      <c r="L163" s="975">
        <f t="shared" si="52"/>
        <v>398.50403</v>
      </c>
      <c r="M163" s="567">
        <f t="shared" si="51"/>
        <v>0.15260073405029304</v>
      </c>
      <c r="N163" s="974">
        <f>SUM(N13:N14,N17:N20)</f>
        <v>60.8120075</v>
      </c>
      <c r="O163" s="974">
        <f>SUM(O13:O14,O17:O20)</f>
        <v>850</v>
      </c>
      <c r="P163" s="974">
        <f>SUM(P13:P14,P17:P20)</f>
        <v>0</v>
      </c>
      <c r="Q163" s="975">
        <f t="shared" si="53"/>
        <v>850</v>
      </c>
      <c r="R163" s="567">
        <f t="shared" si="45"/>
        <v>0.29554</v>
      </c>
      <c r="S163" s="974">
        <f>SUM(S13:S14,S17:S20)</f>
        <v>251.209</v>
      </c>
      <c r="T163" s="974">
        <f>SUM(T13:T14,T17:T20)</f>
        <v>50</v>
      </c>
      <c r="U163" s="974">
        <f>SUM(U13:U14,U17:U20)</f>
        <v>0</v>
      </c>
      <c r="V163" s="974">
        <f>SUM(V13:V14,V17:V20)</f>
        <v>0</v>
      </c>
      <c r="W163" s="975">
        <f t="shared" si="54"/>
        <v>0</v>
      </c>
      <c r="X163" s="567"/>
      <c r="Y163" s="974">
        <f>SUM(Y13:Y14,Y17:Y20)</f>
        <v>0</v>
      </c>
      <c r="Z163" s="974">
        <f>SUM(Z13:Z14,Z17:Z20)</f>
        <v>300</v>
      </c>
      <c r="AA163" s="971">
        <f t="shared" si="48"/>
        <v>1248.50403</v>
      </c>
      <c r="AB163" s="971">
        <f t="shared" si="48"/>
        <v>0</v>
      </c>
      <c r="AC163" s="971"/>
      <c r="AD163" s="975">
        <f t="shared" si="55"/>
        <v>1248.50403</v>
      </c>
      <c r="AE163" s="547">
        <f t="shared" si="47"/>
        <v>0.2499158993503609</v>
      </c>
      <c r="AF163" s="567"/>
      <c r="AG163" s="567"/>
      <c r="AH163" s="567"/>
      <c r="AI163" s="567"/>
      <c r="AJ163" s="567"/>
      <c r="AK163" s="567"/>
      <c r="AL163" s="976">
        <f t="shared" si="56"/>
        <v>312.0210075</v>
      </c>
      <c r="AM163" s="977">
        <f t="shared" si="49"/>
        <v>350</v>
      </c>
      <c r="AN163" s="977">
        <f t="shared" si="57"/>
        <v>662.0210075</v>
      </c>
      <c r="AO163" s="567">
        <f t="shared" si="50"/>
        <v>0.5302513981472691</v>
      </c>
      <c r="AP163" s="974">
        <f>SUM(AN13:AN14,AN17:AN20)</f>
        <v>200</v>
      </c>
    </row>
    <row r="164" spans="1:42" ht="36">
      <c r="A164" s="972"/>
      <c r="B164" s="973" t="s">
        <v>613</v>
      </c>
      <c r="J164" s="974">
        <f>J37+J39+J40</f>
        <v>1067.02163</v>
      </c>
      <c r="K164" s="974">
        <f>K37+K39+K40</f>
        <v>347</v>
      </c>
      <c r="L164" s="975">
        <f t="shared" si="52"/>
        <v>1414.02163</v>
      </c>
      <c r="M164" s="567">
        <f t="shared" si="51"/>
        <v>0.20804044419037634</v>
      </c>
      <c r="N164" s="974">
        <f>N37+N39+N40</f>
        <v>294.17368799999997</v>
      </c>
      <c r="O164" s="974">
        <f>O37+O39+O40</f>
        <v>0</v>
      </c>
      <c r="P164" s="974">
        <f>P37+P39+P40</f>
        <v>0</v>
      </c>
      <c r="Q164" s="975">
        <f t="shared" si="53"/>
        <v>0</v>
      </c>
      <c r="R164" s="567"/>
      <c r="S164" s="974">
        <f>S37+S39+S40</f>
        <v>0</v>
      </c>
      <c r="T164" s="974">
        <f>T37+T39+T40</f>
        <v>0</v>
      </c>
      <c r="U164" s="974">
        <f>U37+U39+U40</f>
        <v>0</v>
      </c>
      <c r="V164" s="974">
        <f>V37+V39+V40</f>
        <v>0</v>
      </c>
      <c r="W164" s="975">
        <f t="shared" si="54"/>
        <v>0</v>
      </c>
      <c r="X164" s="567"/>
      <c r="Y164" s="974">
        <f>Y37+Y39+Y40</f>
        <v>0</v>
      </c>
      <c r="Z164" s="974">
        <f>Z37+Z39+Z40</f>
        <v>0</v>
      </c>
      <c r="AA164" s="971">
        <f t="shared" si="48"/>
        <v>1067.02163</v>
      </c>
      <c r="AB164" s="971">
        <f t="shared" si="48"/>
        <v>347</v>
      </c>
      <c r="AC164" s="971"/>
      <c r="AD164" s="975">
        <f t="shared" si="55"/>
        <v>1414.02163</v>
      </c>
      <c r="AE164" s="547">
        <f t="shared" si="47"/>
        <v>0.20804044419037634</v>
      </c>
      <c r="AF164" s="567"/>
      <c r="AG164" s="567"/>
      <c r="AH164" s="567"/>
      <c r="AI164" s="567"/>
      <c r="AJ164" s="567"/>
      <c r="AK164" s="567"/>
      <c r="AL164" s="976">
        <f t="shared" si="56"/>
        <v>294.17368799999997</v>
      </c>
      <c r="AM164" s="977">
        <f t="shared" si="49"/>
        <v>0</v>
      </c>
      <c r="AN164" s="977">
        <f t="shared" si="57"/>
        <v>294.17368799999997</v>
      </c>
      <c r="AO164" s="567">
        <f t="shared" si="50"/>
        <v>0.20804044419037634</v>
      </c>
      <c r="AP164" s="974">
        <f>AN37+AN39+AN40</f>
        <v>0</v>
      </c>
    </row>
    <row r="165" spans="1:42" ht="36">
      <c r="A165" s="972"/>
      <c r="B165" s="973" t="s">
        <v>614</v>
      </c>
      <c r="J165" s="974">
        <f>J52+J55</f>
        <v>476.3532568000001</v>
      </c>
      <c r="K165" s="974">
        <f>K52+K55</f>
        <v>0</v>
      </c>
      <c r="L165" s="975">
        <f t="shared" si="52"/>
        <v>476.3532568000001</v>
      </c>
      <c r="M165" s="567">
        <f t="shared" si="51"/>
        <v>0.19999999999999998</v>
      </c>
      <c r="N165" s="974">
        <f>N52+N55</f>
        <v>95.27065136000002</v>
      </c>
      <c r="O165" s="974">
        <f>O52+O55</f>
        <v>0</v>
      </c>
      <c r="P165" s="974">
        <f>P52+P55</f>
        <v>0</v>
      </c>
      <c r="Q165" s="975">
        <f t="shared" si="53"/>
        <v>0</v>
      </c>
      <c r="R165" s="567"/>
      <c r="S165" s="974">
        <f>S52+S55</f>
        <v>0</v>
      </c>
      <c r="T165" s="974">
        <f>T52+T55</f>
        <v>0</v>
      </c>
      <c r="U165" s="974">
        <f>U52+U55</f>
        <v>0</v>
      </c>
      <c r="V165" s="974">
        <f>V52+V55</f>
        <v>0</v>
      </c>
      <c r="W165" s="975">
        <f t="shared" si="54"/>
        <v>0</v>
      </c>
      <c r="X165" s="567"/>
      <c r="Y165" s="974">
        <f>Y52+Y55</f>
        <v>0</v>
      </c>
      <c r="Z165" s="974">
        <f>Z52+Z55</f>
        <v>0</v>
      </c>
      <c r="AA165" s="971">
        <f t="shared" si="48"/>
        <v>476.3532568000001</v>
      </c>
      <c r="AB165" s="971">
        <f t="shared" si="48"/>
        <v>0</v>
      </c>
      <c r="AC165" s="971"/>
      <c r="AD165" s="975">
        <f t="shared" si="55"/>
        <v>476.3532568000001</v>
      </c>
      <c r="AE165" s="547">
        <f t="shared" si="47"/>
        <v>0.19999999999999998</v>
      </c>
      <c r="AF165" s="567"/>
      <c r="AG165" s="567"/>
      <c r="AH165" s="567"/>
      <c r="AI165" s="567"/>
      <c r="AJ165" s="567"/>
      <c r="AK165" s="567"/>
      <c r="AL165" s="976">
        <f t="shared" si="56"/>
        <v>95.27065136000002</v>
      </c>
      <c r="AM165" s="977">
        <f t="shared" si="49"/>
        <v>0</v>
      </c>
      <c r="AN165" s="977">
        <f t="shared" si="57"/>
        <v>95.27065136000002</v>
      </c>
      <c r="AO165" s="567">
        <f t="shared" si="50"/>
        <v>0.19999999999999998</v>
      </c>
      <c r="AP165" s="974">
        <f>AN52+AN55</f>
        <v>0</v>
      </c>
    </row>
    <row r="166" spans="1:42" ht="20.25">
      <c r="A166" s="972"/>
      <c r="B166" s="973" t="s">
        <v>615</v>
      </c>
      <c r="J166" s="974">
        <f>SUM(J44:J45)</f>
        <v>567.6223</v>
      </c>
      <c r="K166" s="974">
        <f>SUM(K44:K45)</f>
        <v>0</v>
      </c>
      <c r="L166" s="975">
        <f t="shared" si="52"/>
        <v>567.6223</v>
      </c>
      <c r="M166" s="567">
        <f t="shared" si="51"/>
        <v>0.07461644829669306</v>
      </c>
      <c r="N166" s="974">
        <f>SUM(N44:N45)</f>
        <v>42.35396</v>
      </c>
      <c r="O166" s="974">
        <f>SUM(O44:O45)</f>
        <v>667</v>
      </c>
      <c r="P166" s="974">
        <f>SUM(P44:P45)</f>
        <v>0</v>
      </c>
      <c r="Q166" s="975">
        <f t="shared" si="53"/>
        <v>667</v>
      </c>
      <c r="R166" s="567">
        <f t="shared" si="45"/>
        <v>0.3</v>
      </c>
      <c r="S166" s="974">
        <f>SUM(S44:S45)</f>
        <v>200.1</v>
      </c>
      <c r="T166" s="974">
        <f>SUM(T44:T45)</f>
        <v>540</v>
      </c>
      <c r="U166" s="974">
        <f>SUM(U44:U45)</f>
        <v>0</v>
      </c>
      <c r="V166" s="974">
        <f>SUM(V44:V45)</f>
        <v>0</v>
      </c>
      <c r="W166" s="975">
        <f t="shared" si="54"/>
        <v>0</v>
      </c>
      <c r="X166" s="567"/>
      <c r="Y166" s="974">
        <f>SUM(Y44:Y45)</f>
        <v>0</v>
      </c>
      <c r="Z166" s="974">
        <f>SUM(Z44:Z45)</f>
        <v>0</v>
      </c>
      <c r="AA166" s="971">
        <f t="shared" si="48"/>
        <v>1234.6223</v>
      </c>
      <c r="AB166" s="971">
        <f t="shared" si="48"/>
        <v>0</v>
      </c>
      <c r="AC166" s="971"/>
      <c r="AD166" s="975">
        <f t="shared" si="55"/>
        <v>1234.6223</v>
      </c>
      <c r="AE166" s="547">
        <f t="shared" si="47"/>
        <v>0.19637905454971938</v>
      </c>
      <c r="AF166" s="567"/>
      <c r="AG166" s="567"/>
      <c r="AH166" s="567"/>
      <c r="AI166" s="567"/>
      <c r="AJ166" s="567"/>
      <c r="AK166" s="567"/>
      <c r="AL166" s="976">
        <f t="shared" si="56"/>
        <v>242.45396</v>
      </c>
      <c r="AM166" s="977">
        <f t="shared" si="49"/>
        <v>540</v>
      </c>
      <c r="AN166" s="977">
        <f t="shared" si="57"/>
        <v>782.45396</v>
      </c>
      <c r="AO166" s="567">
        <f t="shared" si="50"/>
        <v>0.6337597822427151</v>
      </c>
      <c r="AP166" s="974">
        <f>SUM(AN44:AN45)</f>
        <v>0</v>
      </c>
    </row>
    <row r="167" spans="1:42" ht="20.25">
      <c r="A167" s="972"/>
      <c r="B167" s="973" t="s">
        <v>616</v>
      </c>
      <c r="J167" s="974">
        <f>J46</f>
        <v>170.74</v>
      </c>
      <c r="K167" s="974">
        <f>K46</f>
        <v>0</v>
      </c>
      <c r="L167" s="975">
        <f t="shared" si="52"/>
        <v>170.74</v>
      </c>
      <c r="M167" s="567">
        <f t="shared" si="51"/>
        <v>0.1</v>
      </c>
      <c r="N167" s="974">
        <f>N46</f>
        <v>17.074</v>
      </c>
      <c r="O167" s="974">
        <f>O46</f>
        <v>956</v>
      </c>
      <c r="P167" s="974">
        <f>P46</f>
        <v>0</v>
      </c>
      <c r="Q167" s="975">
        <f t="shared" si="53"/>
        <v>956</v>
      </c>
      <c r="R167" s="567">
        <f t="shared" si="45"/>
        <v>0.2</v>
      </c>
      <c r="S167" s="974">
        <f>S46</f>
        <v>191.20000000000002</v>
      </c>
      <c r="T167" s="974">
        <f>T46</f>
        <v>50</v>
      </c>
      <c r="U167" s="974">
        <f>U46</f>
        <v>17</v>
      </c>
      <c r="V167" s="974">
        <f>V46</f>
        <v>0</v>
      </c>
      <c r="W167" s="975">
        <f t="shared" si="54"/>
        <v>17</v>
      </c>
      <c r="X167" s="567">
        <f t="shared" si="46"/>
        <v>0</v>
      </c>
      <c r="Y167" s="974">
        <f>Y46</f>
        <v>0</v>
      </c>
      <c r="Z167" s="974">
        <f>Z46</f>
        <v>0</v>
      </c>
      <c r="AA167" s="971">
        <f t="shared" si="48"/>
        <v>1143.74</v>
      </c>
      <c r="AB167" s="971">
        <f t="shared" si="48"/>
        <v>0</v>
      </c>
      <c r="AC167" s="971"/>
      <c r="AD167" s="975">
        <f t="shared" si="55"/>
        <v>1143.74</v>
      </c>
      <c r="AE167" s="547">
        <f t="shared" si="47"/>
        <v>0.18209907846188822</v>
      </c>
      <c r="AF167" s="567"/>
      <c r="AG167" s="567"/>
      <c r="AH167" s="567"/>
      <c r="AI167" s="567"/>
      <c r="AJ167" s="567"/>
      <c r="AK167" s="567"/>
      <c r="AL167" s="976">
        <f t="shared" si="56"/>
        <v>208.27400000000003</v>
      </c>
      <c r="AM167" s="977">
        <f t="shared" si="49"/>
        <v>50</v>
      </c>
      <c r="AN167" s="977">
        <f t="shared" si="57"/>
        <v>258.274</v>
      </c>
      <c r="AO167" s="567">
        <f t="shared" si="50"/>
        <v>0.2258153076748212</v>
      </c>
      <c r="AP167" s="974">
        <f>AN46</f>
        <v>0</v>
      </c>
    </row>
    <row r="168" spans="1:42" ht="20.25">
      <c r="A168" s="972"/>
      <c r="B168" s="973" t="s">
        <v>617</v>
      </c>
      <c r="J168" s="974">
        <f>SUM(J47:J49)</f>
        <v>58.96627200000003</v>
      </c>
      <c r="K168" s="974">
        <f>SUM(K47:K49)</f>
        <v>0</v>
      </c>
      <c r="L168" s="975">
        <f t="shared" si="52"/>
        <v>58.96627200000003</v>
      </c>
      <c r="M168" s="567">
        <f t="shared" si="51"/>
        <v>0</v>
      </c>
      <c r="N168" s="974">
        <f>SUM(N47:N49)</f>
        <v>0</v>
      </c>
      <c r="O168" s="974">
        <f>SUM(O47:O49)</f>
        <v>674</v>
      </c>
      <c r="P168" s="974">
        <f>SUM(P47:P49)</f>
        <v>0</v>
      </c>
      <c r="Q168" s="975">
        <f t="shared" si="53"/>
        <v>674</v>
      </c>
      <c r="R168" s="567">
        <f t="shared" si="45"/>
        <v>0.25</v>
      </c>
      <c r="S168" s="974">
        <f>SUM(S47:S49)</f>
        <v>168.5</v>
      </c>
      <c r="T168" s="974">
        <f>SUM(T47:T49)</f>
        <v>100</v>
      </c>
      <c r="U168" s="974">
        <f>SUM(U47:U49)</f>
        <v>55</v>
      </c>
      <c r="V168" s="974">
        <f>SUM(V47:V49)</f>
        <v>0</v>
      </c>
      <c r="W168" s="975">
        <f t="shared" si="54"/>
        <v>55</v>
      </c>
      <c r="X168" s="567">
        <f t="shared" si="46"/>
        <v>0</v>
      </c>
      <c r="Y168" s="974">
        <f>SUM(Y47:Y49)</f>
        <v>0</v>
      </c>
      <c r="Z168" s="974">
        <f>SUM(Z47:Z49)</f>
        <v>50</v>
      </c>
      <c r="AA168" s="971">
        <f t="shared" si="48"/>
        <v>787.966272</v>
      </c>
      <c r="AB168" s="971">
        <f t="shared" si="48"/>
        <v>0</v>
      </c>
      <c r="AC168" s="971"/>
      <c r="AD168" s="975">
        <f t="shared" si="55"/>
        <v>787.966272</v>
      </c>
      <c r="AE168" s="547">
        <f t="shared" si="47"/>
        <v>0.21384164016604</v>
      </c>
      <c r="AF168" s="567"/>
      <c r="AG168" s="567"/>
      <c r="AH168" s="567"/>
      <c r="AI168" s="567"/>
      <c r="AJ168" s="567"/>
      <c r="AK168" s="567"/>
      <c r="AL168" s="976">
        <f t="shared" si="56"/>
        <v>168.5</v>
      </c>
      <c r="AM168" s="977">
        <f t="shared" si="49"/>
        <v>150</v>
      </c>
      <c r="AN168" s="977">
        <f t="shared" si="57"/>
        <v>318.5</v>
      </c>
      <c r="AO168" s="567">
        <f t="shared" si="50"/>
        <v>0.4042051180586572</v>
      </c>
      <c r="AP168" s="974">
        <f>SUM(AN47:AN49)</f>
        <v>0</v>
      </c>
    </row>
    <row r="169" spans="1:42" ht="36">
      <c r="A169" s="972"/>
      <c r="B169" s="973" t="s">
        <v>618</v>
      </c>
      <c r="J169" s="974">
        <f>J57</f>
        <v>172.2641231999997</v>
      </c>
      <c r="K169" s="974">
        <f>K57</f>
        <v>0</v>
      </c>
      <c r="L169" s="975">
        <f t="shared" si="52"/>
        <v>172.2641231999997</v>
      </c>
      <c r="M169" s="567">
        <f t="shared" si="51"/>
        <v>0.05</v>
      </c>
      <c r="N169" s="974">
        <f>N57</f>
        <v>8.613206159999985</v>
      </c>
      <c r="O169" s="974">
        <f>O57</f>
        <v>251.5</v>
      </c>
      <c r="P169" s="974">
        <f>P57</f>
        <v>0</v>
      </c>
      <c r="Q169" s="975">
        <f t="shared" si="53"/>
        <v>251.5</v>
      </c>
      <c r="R169" s="567">
        <f t="shared" si="45"/>
        <v>0.05</v>
      </c>
      <c r="S169" s="974">
        <f>S57</f>
        <v>12.575000000000001</v>
      </c>
      <c r="T169" s="974">
        <f>T57</f>
        <v>0</v>
      </c>
      <c r="U169" s="974">
        <f>U57</f>
        <v>153</v>
      </c>
      <c r="V169" s="974">
        <f>V57</f>
        <v>0</v>
      </c>
      <c r="W169" s="975">
        <f t="shared" si="54"/>
        <v>153</v>
      </c>
      <c r="X169" s="567">
        <f t="shared" si="46"/>
        <v>0</v>
      </c>
      <c r="Y169" s="974">
        <f>Y57</f>
        <v>0</v>
      </c>
      <c r="Z169" s="974">
        <f>Z57</f>
        <v>200</v>
      </c>
      <c r="AA169" s="971">
        <f t="shared" si="48"/>
        <v>576.7641231999996</v>
      </c>
      <c r="AB169" s="971">
        <f t="shared" si="48"/>
        <v>0</v>
      </c>
      <c r="AC169" s="971"/>
      <c r="AD169" s="975">
        <f t="shared" si="55"/>
        <v>576.7641231999996</v>
      </c>
      <c r="AE169" s="547">
        <f t="shared" si="47"/>
        <v>0.0367363456007695</v>
      </c>
      <c r="AF169" s="567"/>
      <c r="AG169" s="567"/>
      <c r="AH169" s="567"/>
      <c r="AI169" s="567"/>
      <c r="AJ169" s="567"/>
      <c r="AK169" s="567"/>
      <c r="AL169" s="976">
        <f t="shared" si="56"/>
        <v>21.188206159999986</v>
      </c>
      <c r="AM169" s="977">
        <f t="shared" si="49"/>
        <v>200</v>
      </c>
      <c r="AN169" s="977">
        <f t="shared" si="57"/>
        <v>221.18820616</v>
      </c>
      <c r="AO169" s="567">
        <f t="shared" si="50"/>
        <v>0.3834985521165997</v>
      </c>
      <c r="AP169" s="974">
        <f>AN57</f>
        <v>0</v>
      </c>
    </row>
    <row r="170" spans="1:42" ht="20.25">
      <c r="A170" s="972"/>
      <c r="B170" s="973" t="s">
        <v>619</v>
      </c>
      <c r="J170" s="974">
        <f>SUM(J91:J96)</f>
        <v>796.85727905</v>
      </c>
      <c r="K170" s="974">
        <f>SUM(K91:K96)</f>
        <v>151</v>
      </c>
      <c r="L170" s="975">
        <f t="shared" si="52"/>
        <v>947.85727905</v>
      </c>
      <c r="M170" s="567">
        <f t="shared" si="51"/>
        <v>0.15967058300241893</v>
      </c>
      <c r="N170" s="974">
        <f>SUM(N91:N96)</f>
        <v>151.344924349</v>
      </c>
      <c r="O170" s="974">
        <f>SUM(O91:O96)</f>
        <v>277</v>
      </c>
      <c r="P170" s="974">
        <f>SUM(P91:P96)</f>
        <v>0</v>
      </c>
      <c r="Q170" s="975">
        <f t="shared" si="53"/>
        <v>277</v>
      </c>
      <c r="R170" s="567">
        <f t="shared" si="45"/>
        <v>1.3989169675090252</v>
      </c>
      <c r="S170" s="974">
        <f>SUM(S91:S96)</f>
        <v>387.5</v>
      </c>
      <c r="T170" s="974">
        <f>SUM(T91:T96)</f>
        <v>815</v>
      </c>
      <c r="U170" s="974">
        <f>SUM(U91:U96)</f>
        <v>61</v>
      </c>
      <c r="V170" s="974">
        <f>SUM(V91:V96)</f>
        <v>0</v>
      </c>
      <c r="W170" s="975">
        <f t="shared" si="54"/>
        <v>61</v>
      </c>
      <c r="X170" s="567">
        <f t="shared" si="46"/>
        <v>0</v>
      </c>
      <c r="Y170" s="974">
        <f>SUM(Y91:Y96)</f>
        <v>0</v>
      </c>
      <c r="Z170" s="974">
        <f>SUM(Z91:Z96)</f>
        <v>200</v>
      </c>
      <c r="AA170" s="971">
        <f t="shared" si="48"/>
        <v>1134.85727905</v>
      </c>
      <c r="AB170" s="971">
        <f t="shared" si="48"/>
        <v>151</v>
      </c>
      <c r="AC170" s="971"/>
      <c r="AD170" s="975">
        <f t="shared" si="55"/>
        <v>1285.85727905</v>
      </c>
      <c r="AE170" s="547">
        <f t="shared" si="47"/>
        <v>0.4190550017705715</v>
      </c>
      <c r="AF170" s="567"/>
      <c r="AG170" s="567"/>
      <c r="AH170" s="567"/>
      <c r="AI170" s="567"/>
      <c r="AJ170" s="567"/>
      <c r="AK170" s="567"/>
      <c r="AL170" s="976">
        <f t="shared" si="56"/>
        <v>538.8449243489999</v>
      </c>
      <c r="AM170" s="977">
        <f>SUM(Z170,T170)</f>
        <v>1015</v>
      </c>
      <c r="AN170" s="977">
        <f t="shared" si="57"/>
        <v>1553.844924349</v>
      </c>
      <c r="AO170" s="567">
        <f t="shared" si="50"/>
        <v>1.2084116563052714</v>
      </c>
      <c r="AP170" s="974">
        <f>SUM(AN91:AN96)</f>
        <v>690</v>
      </c>
    </row>
    <row r="171" spans="1:42" ht="20.25">
      <c r="A171" s="972"/>
      <c r="B171" s="973" t="s">
        <v>620</v>
      </c>
      <c r="J171" s="974">
        <f>J97</f>
        <v>0</v>
      </c>
      <c r="K171" s="974">
        <f>K97</f>
        <v>0</v>
      </c>
      <c r="L171" s="975">
        <f t="shared" si="52"/>
        <v>0</v>
      </c>
      <c r="M171" s="567"/>
      <c r="N171" s="974">
        <f>N97</f>
        <v>0</v>
      </c>
      <c r="O171" s="974">
        <f>O97</f>
        <v>224</v>
      </c>
      <c r="P171" s="974">
        <f>P97</f>
        <v>0</v>
      </c>
      <c r="Q171" s="975">
        <f t="shared" si="53"/>
        <v>224</v>
      </c>
      <c r="R171" s="567">
        <f t="shared" si="45"/>
        <v>0.3</v>
      </c>
      <c r="S171" s="974">
        <f>S97</f>
        <v>67.2</v>
      </c>
      <c r="T171" s="974">
        <f>T97</f>
        <v>0</v>
      </c>
      <c r="U171" s="974">
        <f>U97</f>
        <v>588</v>
      </c>
      <c r="V171" s="974">
        <f>V97</f>
        <v>0</v>
      </c>
      <c r="W171" s="975">
        <f t="shared" si="54"/>
        <v>588</v>
      </c>
      <c r="X171" s="567">
        <f t="shared" si="46"/>
        <v>0</v>
      </c>
      <c r="Y171" s="974">
        <f>Y97</f>
        <v>0</v>
      </c>
      <c r="Z171" s="974">
        <f>Z97</f>
        <v>250</v>
      </c>
      <c r="AA171" s="971">
        <f t="shared" si="48"/>
        <v>812</v>
      </c>
      <c r="AB171" s="971">
        <f t="shared" si="48"/>
        <v>0</v>
      </c>
      <c r="AC171" s="971"/>
      <c r="AD171" s="975">
        <f t="shared" si="55"/>
        <v>812</v>
      </c>
      <c r="AE171" s="547">
        <f t="shared" si="47"/>
        <v>0.08275862068965517</v>
      </c>
      <c r="AF171" s="567"/>
      <c r="AG171" s="567"/>
      <c r="AH171" s="567"/>
      <c r="AI171" s="567"/>
      <c r="AJ171" s="567"/>
      <c r="AK171" s="567"/>
      <c r="AL171" s="976">
        <f t="shared" si="56"/>
        <v>67.2</v>
      </c>
      <c r="AM171" s="977">
        <f t="shared" si="49"/>
        <v>250</v>
      </c>
      <c r="AN171" s="977">
        <f t="shared" si="57"/>
        <v>317.2</v>
      </c>
      <c r="AO171" s="567">
        <f t="shared" si="50"/>
        <v>0.39064039408866996</v>
      </c>
      <c r="AP171" s="974">
        <f>AN97</f>
        <v>0</v>
      </c>
    </row>
    <row r="172" spans="1:42" ht="20.25">
      <c r="A172" s="979" t="s">
        <v>621</v>
      </c>
      <c r="B172" s="968"/>
      <c r="C172" s="969"/>
      <c r="D172" s="969"/>
      <c r="E172" s="969"/>
      <c r="F172" s="969"/>
      <c r="G172" s="969"/>
      <c r="H172" s="969"/>
      <c r="I172" s="969"/>
      <c r="J172" s="970">
        <f>SUM(J173:J180)</f>
        <v>3053.102160998389</v>
      </c>
      <c r="K172" s="970">
        <f>SUM(K173:K180)</f>
        <v>-690</v>
      </c>
      <c r="L172" s="970">
        <f>SUM(L173:L180)</f>
        <v>2363.102160998389</v>
      </c>
      <c r="M172" s="567">
        <f t="shared" si="51"/>
        <v>0.07835667192724712</v>
      </c>
      <c r="N172" s="970">
        <f>SUM(N173:N180)</f>
        <v>185.16482075991945</v>
      </c>
      <c r="O172" s="970">
        <f>SUM(O173:O180)</f>
        <v>4794.6</v>
      </c>
      <c r="P172" s="970">
        <f>SUM(P173:P180)</f>
        <v>-502</v>
      </c>
      <c r="Q172" s="970">
        <f>SUM(Q173:Q180)</f>
        <v>4292.6</v>
      </c>
      <c r="R172" s="567">
        <f t="shared" si="45"/>
        <v>0.16142664119647765</v>
      </c>
      <c r="S172" s="970">
        <f>SUM(S173:S180)</f>
        <v>692.94</v>
      </c>
      <c r="T172" s="970">
        <f>SUM(T173:T180)</f>
        <v>0</v>
      </c>
      <c r="U172" s="970">
        <f>SUM(U173:U180)</f>
        <v>280.6</v>
      </c>
      <c r="V172" s="970">
        <f>SUM(V173:V180)</f>
        <v>0</v>
      </c>
      <c r="W172" s="970">
        <f>SUM(W173:W180)</f>
        <v>280.6</v>
      </c>
      <c r="X172" s="567">
        <f t="shared" si="46"/>
        <v>0</v>
      </c>
      <c r="Y172" s="970">
        <f>SUM(Y173:Y180)</f>
        <v>0</v>
      </c>
      <c r="Z172" s="970">
        <f>SUM(Z173:Z180)</f>
        <v>1100</v>
      </c>
      <c r="AA172" s="971">
        <f t="shared" si="48"/>
        <v>8128.30216099839</v>
      </c>
      <c r="AB172" s="971">
        <f t="shared" si="48"/>
        <v>-1192</v>
      </c>
      <c r="AC172" s="971"/>
      <c r="AD172" s="970">
        <f>SUM(AD173:AD180)</f>
        <v>6936.30216099839</v>
      </c>
      <c r="AE172" s="547">
        <f t="shared" si="47"/>
        <v>0.12659552602788107</v>
      </c>
      <c r="AF172" s="567"/>
      <c r="AG172" s="567"/>
      <c r="AH172" s="567"/>
      <c r="AI172" s="567"/>
      <c r="AJ172" s="567"/>
      <c r="AK172" s="567"/>
      <c r="AL172" s="970">
        <f>SUM(AL173:AL180)</f>
        <v>878.1048207599194</v>
      </c>
      <c r="AM172" s="970">
        <f>SUM(AM173:AM180)</f>
        <v>1100</v>
      </c>
      <c r="AN172" s="970">
        <f>SUM(AN173:AN180)</f>
        <v>1978.1048207599194</v>
      </c>
      <c r="AO172" s="567">
        <f t="shared" si="50"/>
        <v>0.2851814662692257</v>
      </c>
      <c r="AP172" s="970">
        <f>SUM(AP173:AP180)</f>
        <v>314</v>
      </c>
    </row>
    <row r="173" spans="1:42" ht="20.25">
      <c r="A173" s="972"/>
      <c r="B173" s="973" t="s">
        <v>622</v>
      </c>
      <c r="J173" s="974">
        <f>J16+J21</f>
        <v>880.2037651999999</v>
      </c>
      <c r="K173" s="974">
        <f>K16+K21</f>
        <v>0</v>
      </c>
      <c r="L173" s="975">
        <f aca="true" t="shared" si="58" ref="L173:L180">SUM(J173:K173)</f>
        <v>880.2037651999999</v>
      </c>
      <c r="M173" s="567">
        <f t="shared" si="51"/>
        <v>0.10037177409701907</v>
      </c>
      <c r="N173" s="974">
        <f>N16+N21</f>
        <v>88.34761348</v>
      </c>
      <c r="O173" s="974">
        <f>O16+O21</f>
        <v>247</v>
      </c>
      <c r="P173" s="974">
        <f>P16+P21</f>
        <v>0</v>
      </c>
      <c r="Q173" s="975">
        <f aca="true" t="shared" si="59" ref="Q173:Q180">SUM(O173:P173)</f>
        <v>247</v>
      </c>
      <c r="R173" s="567">
        <f t="shared" si="45"/>
        <v>0.1</v>
      </c>
      <c r="S173" s="974">
        <f>S16+S21</f>
        <v>24.700000000000003</v>
      </c>
      <c r="T173" s="974">
        <f>T16+T21</f>
        <v>0</v>
      </c>
      <c r="U173" s="974">
        <f>U16+U21</f>
        <v>0</v>
      </c>
      <c r="V173" s="974">
        <f>V16+V21</f>
        <v>0</v>
      </c>
      <c r="W173" s="975">
        <f aca="true" t="shared" si="60" ref="W173:W180">SUM(U173:V173)</f>
        <v>0</v>
      </c>
      <c r="X173" s="567"/>
      <c r="Y173" s="974">
        <f>Y16+Y21</f>
        <v>0</v>
      </c>
      <c r="Z173" s="974">
        <f>Z16+Z21</f>
        <v>50</v>
      </c>
      <c r="AA173" s="971">
        <f t="shared" si="48"/>
        <v>1127.2037652</v>
      </c>
      <c r="AB173" s="971">
        <f t="shared" si="48"/>
        <v>0</v>
      </c>
      <c r="AC173" s="971"/>
      <c r="AD173" s="975">
        <f aca="true" t="shared" si="61" ref="AD173:AD180">SUM(AA173:AB173)</f>
        <v>1127.2037652</v>
      </c>
      <c r="AE173" s="547">
        <f t="shared" si="47"/>
        <v>0.10029030861154191</v>
      </c>
      <c r="AF173" s="567"/>
      <c r="AG173" s="567"/>
      <c r="AH173" s="567"/>
      <c r="AI173" s="567"/>
      <c r="AJ173" s="567"/>
      <c r="AK173" s="567"/>
      <c r="AL173" s="976">
        <f aca="true" t="shared" si="62" ref="AL173:AL180">SUM(N173:N173,S173,Y173)</f>
        <v>113.04761348000001</v>
      </c>
      <c r="AM173" s="977">
        <f t="shared" si="49"/>
        <v>50</v>
      </c>
      <c r="AN173" s="977">
        <f aca="true" t="shared" si="63" ref="AN173:AN180">AL173+AM173</f>
        <v>163.04761348</v>
      </c>
      <c r="AO173" s="567">
        <f t="shared" si="50"/>
        <v>0.14464786094027146</v>
      </c>
      <c r="AP173" s="974">
        <f>AN16+AN21</f>
        <v>0</v>
      </c>
    </row>
    <row r="174" spans="1:42" ht="20.25">
      <c r="A174" s="972"/>
      <c r="B174" s="973" t="s">
        <v>623</v>
      </c>
      <c r="J174" s="974">
        <f>J32</f>
        <v>1175.0463696499992</v>
      </c>
      <c r="K174" s="974">
        <f>K32</f>
        <v>0</v>
      </c>
      <c r="L174" s="975">
        <f t="shared" si="58"/>
        <v>1175.0463696499992</v>
      </c>
      <c r="M174" s="567">
        <f t="shared" si="51"/>
        <v>0.05</v>
      </c>
      <c r="N174" s="974">
        <f>N32</f>
        <v>58.75231848249996</v>
      </c>
      <c r="O174" s="974">
        <f>O32</f>
        <v>0</v>
      </c>
      <c r="P174" s="974">
        <f>P32</f>
        <v>0</v>
      </c>
      <c r="Q174" s="975">
        <f t="shared" si="59"/>
        <v>0</v>
      </c>
      <c r="R174" s="567"/>
      <c r="S174" s="974">
        <f>S32</f>
        <v>0</v>
      </c>
      <c r="T174" s="974">
        <f>T32</f>
        <v>0</v>
      </c>
      <c r="U174" s="974">
        <f>U32</f>
        <v>0</v>
      </c>
      <c r="V174" s="974">
        <f>V32</f>
        <v>0</v>
      </c>
      <c r="W174" s="975">
        <f t="shared" si="60"/>
        <v>0</v>
      </c>
      <c r="X174" s="567"/>
      <c r="Y174" s="974">
        <f>Y32</f>
        <v>0</v>
      </c>
      <c r="Z174" s="974">
        <f>Z32</f>
        <v>0</v>
      </c>
      <c r="AA174" s="971">
        <f aca="true" t="shared" si="64" ref="AA174:AB181">SUM(J174:J174,O174,U174)</f>
        <v>1175.0463696499992</v>
      </c>
      <c r="AB174" s="971">
        <f t="shared" si="64"/>
        <v>0</v>
      </c>
      <c r="AC174" s="971"/>
      <c r="AD174" s="975">
        <f t="shared" si="61"/>
        <v>1175.0463696499992</v>
      </c>
      <c r="AE174" s="547">
        <f t="shared" si="47"/>
        <v>0.05</v>
      </c>
      <c r="AF174" s="567"/>
      <c r="AG174" s="567"/>
      <c r="AH174" s="567"/>
      <c r="AI174" s="567"/>
      <c r="AJ174" s="567"/>
      <c r="AK174" s="567"/>
      <c r="AL174" s="976">
        <f t="shared" si="62"/>
        <v>58.75231848249996</v>
      </c>
      <c r="AM174" s="977">
        <f t="shared" si="49"/>
        <v>0</v>
      </c>
      <c r="AN174" s="977">
        <f t="shared" si="63"/>
        <v>58.75231848249996</v>
      </c>
      <c r="AO174" s="567">
        <f t="shared" si="50"/>
        <v>0.05</v>
      </c>
      <c r="AP174" s="974">
        <f>AN32</f>
        <v>0</v>
      </c>
    </row>
    <row r="175" spans="1:42" ht="20.25">
      <c r="A175" s="972"/>
      <c r="B175" s="973" t="s">
        <v>624</v>
      </c>
      <c r="J175" s="974">
        <f>SUM(J58:J61)</f>
        <v>0</v>
      </c>
      <c r="K175" s="974">
        <f>SUM(K58:K61)</f>
        <v>0</v>
      </c>
      <c r="L175" s="975">
        <f t="shared" si="58"/>
        <v>0</v>
      </c>
      <c r="M175" s="567"/>
      <c r="N175" s="974">
        <f>SUM(N58:N61)</f>
        <v>0</v>
      </c>
      <c r="O175" s="974">
        <f>SUM(O58:O61)</f>
        <v>138.2</v>
      </c>
      <c r="P175" s="974">
        <f>SUM(P58:P61)</f>
        <v>0</v>
      </c>
      <c r="Q175" s="975">
        <f t="shared" si="59"/>
        <v>138.2</v>
      </c>
      <c r="R175" s="567">
        <f t="shared" si="45"/>
        <v>0.1</v>
      </c>
      <c r="S175" s="974">
        <f>SUM(S58:S61)</f>
        <v>13.82</v>
      </c>
      <c r="T175" s="974">
        <f>SUM(T58:T61)</f>
        <v>0</v>
      </c>
      <c r="U175" s="974">
        <f>SUM(U58:U61)</f>
        <v>0</v>
      </c>
      <c r="V175" s="974">
        <f>SUM(V58:V61)</f>
        <v>0</v>
      </c>
      <c r="W175" s="975">
        <f t="shared" si="60"/>
        <v>0</v>
      </c>
      <c r="X175" s="567"/>
      <c r="Y175" s="974">
        <f>SUM(Y58:Y61)</f>
        <v>0</v>
      </c>
      <c r="Z175" s="974">
        <f>SUM(Z58:Z61)</f>
        <v>50</v>
      </c>
      <c r="AA175" s="971">
        <f t="shared" si="64"/>
        <v>138.2</v>
      </c>
      <c r="AB175" s="971">
        <f t="shared" si="64"/>
        <v>0</v>
      </c>
      <c r="AC175" s="971"/>
      <c r="AD175" s="975">
        <f t="shared" si="61"/>
        <v>138.2</v>
      </c>
      <c r="AE175" s="547">
        <f t="shared" si="47"/>
        <v>0.1</v>
      </c>
      <c r="AF175" s="567"/>
      <c r="AG175" s="567"/>
      <c r="AH175" s="567"/>
      <c r="AI175" s="567"/>
      <c r="AJ175" s="567"/>
      <c r="AK175" s="567"/>
      <c r="AL175" s="976">
        <f t="shared" si="62"/>
        <v>13.82</v>
      </c>
      <c r="AM175" s="977">
        <f t="shared" si="49"/>
        <v>50</v>
      </c>
      <c r="AN175" s="977">
        <f t="shared" si="63"/>
        <v>63.82</v>
      </c>
      <c r="AO175" s="567">
        <f t="shared" si="50"/>
        <v>0.461794500723589</v>
      </c>
      <c r="AP175" s="974">
        <f>SUM(AN58:AN61)</f>
        <v>0</v>
      </c>
    </row>
    <row r="176" spans="1:42" ht="20.25">
      <c r="A176" s="972"/>
      <c r="B176" s="973" t="s">
        <v>625</v>
      </c>
      <c r="J176" s="974">
        <f>SUM(J62:J65)</f>
        <v>137.09896617000004</v>
      </c>
      <c r="K176" s="974">
        <f>SUM(K62:K65)</f>
        <v>0</v>
      </c>
      <c r="L176" s="975">
        <f t="shared" si="58"/>
        <v>137.09896617000004</v>
      </c>
      <c r="M176" s="567">
        <f t="shared" si="51"/>
        <v>0.131855376473697</v>
      </c>
      <c r="N176" s="974">
        <f>SUM(N62:N65)</f>
        <v>18.077235798500002</v>
      </c>
      <c r="O176" s="974">
        <f>SUM(O62:O65)</f>
        <v>59.6</v>
      </c>
      <c r="P176" s="974">
        <f>SUM(P62:P65)</f>
        <v>0</v>
      </c>
      <c r="Q176" s="975">
        <f t="shared" si="59"/>
        <v>59.6</v>
      </c>
      <c r="R176" s="567">
        <f t="shared" si="45"/>
        <v>0.21543624161073824</v>
      </c>
      <c r="S176" s="974">
        <f>SUM(S62:S65)</f>
        <v>12.84</v>
      </c>
      <c r="T176" s="974">
        <f>SUM(T62:T65)</f>
        <v>0</v>
      </c>
      <c r="U176" s="974">
        <f>SUM(U62:U65)</f>
        <v>0.1</v>
      </c>
      <c r="V176" s="974">
        <f>SUM(V62:V65)</f>
        <v>0</v>
      </c>
      <c r="W176" s="975">
        <f t="shared" si="60"/>
        <v>0.1</v>
      </c>
      <c r="X176" s="567">
        <f t="shared" si="46"/>
        <v>0</v>
      </c>
      <c r="Y176" s="974">
        <f>SUM(Y62:Y65)</f>
        <v>0</v>
      </c>
      <c r="Z176" s="974">
        <f>SUM(Z62:Z65)</f>
        <v>175</v>
      </c>
      <c r="AA176" s="971">
        <f t="shared" si="64"/>
        <v>196.79896617000003</v>
      </c>
      <c r="AB176" s="971">
        <f t="shared" si="64"/>
        <v>0</v>
      </c>
      <c r="AC176" s="971"/>
      <c r="AD176" s="975">
        <f t="shared" si="61"/>
        <v>196.79896617000003</v>
      </c>
      <c r="AE176" s="547">
        <f t="shared" si="47"/>
        <v>0.1571006006799492</v>
      </c>
      <c r="AF176" s="567"/>
      <c r="AG176" s="567"/>
      <c r="AH176" s="567"/>
      <c r="AI176" s="567"/>
      <c r="AJ176" s="567"/>
      <c r="AK176" s="567"/>
      <c r="AL176" s="976">
        <f t="shared" si="62"/>
        <v>30.917235798500002</v>
      </c>
      <c r="AM176" s="977">
        <f t="shared" si="49"/>
        <v>175</v>
      </c>
      <c r="AN176" s="977">
        <f t="shared" si="63"/>
        <v>205.9172357985</v>
      </c>
      <c r="AO176" s="567">
        <f t="shared" si="50"/>
        <v>1.046332914272646</v>
      </c>
      <c r="AP176" s="974">
        <f>SUM(AN62:AN65)</f>
        <v>0</v>
      </c>
    </row>
    <row r="177" spans="1:42" ht="20.25">
      <c r="A177" s="972"/>
      <c r="B177" s="973" t="s">
        <v>626</v>
      </c>
      <c r="J177" s="974">
        <f>SUM(J66:J70)</f>
        <v>0</v>
      </c>
      <c r="K177" s="974">
        <f>SUM(K66:K70)</f>
        <v>-229</v>
      </c>
      <c r="L177" s="975">
        <f t="shared" si="58"/>
        <v>-229</v>
      </c>
      <c r="M177" s="567">
        <f t="shared" si="51"/>
        <v>0</v>
      </c>
      <c r="N177" s="974">
        <f>SUM(N66:N70)</f>
        <v>0</v>
      </c>
      <c r="O177" s="974">
        <f>SUM(O66:O70)</f>
        <v>2287</v>
      </c>
      <c r="P177" s="974">
        <f>SUM(P66:P70)</f>
        <v>-401</v>
      </c>
      <c r="Q177" s="975">
        <f t="shared" si="59"/>
        <v>1886</v>
      </c>
      <c r="R177" s="567">
        <f t="shared" si="45"/>
        <v>0.1</v>
      </c>
      <c r="S177" s="974">
        <f>SUM(S66:S70)</f>
        <v>188.60000000000002</v>
      </c>
      <c r="T177" s="974">
        <f>SUM(T66:T70)</f>
        <v>0</v>
      </c>
      <c r="U177" s="974">
        <f>SUM(U66:U70)</f>
        <v>173</v>
      </c>
      <c r="V177" s="974">
        <f>SUM(V66:V70)</f>
        <v>0</v>
      </c>
      <c r="W177" s="975">
        <f t="shared" si="60"/>
        <v>173</v>
      </c>
      <c r="X177" s="567">
        <f t="shared" si="46"/>
        <v>0</v>
      </c>
      <c r="Y177" s="974">
        <f>SUM(Y66:Y70)</f>
        <v>0</v>
      </c>
      <c r="Z177" s="974">
        <f>SUM(Z66:Z70)</f>
        <v>375</v>
      </c>
      <c r="AA177" s="971">
        <f t="shared" si="64"/>
        <v>2460</v>
      </c>
      <c r="AB177" s="971">
        <f t="shared" si="64"/>
        <v>-630</v>
      </c>
      <c r="AC177" s="971"/>
      <c r="AD177" s="975">
        <f t="shared" si="61"/>
        <v>1830</v>
      </c>
      <c r="AE177" s="547">
        <f t="shared" si="47"/>
        <v>0.1030601092896175</v>
      </c>
      <c r="AF177" s="567"/>
      <c r="AG177" s="567"/>
      <c r="AH177" s="567"/>
      <c r="AI177" s="567"/>
      <c r="AJ177" s="567"/>
      <c r="AK177" s="567"/>
      <c r="AL177" s="976">
        <f t="shared" si="62"/>
        <v>188.60000000000002</v>
      </c>
      <c r="AM177" s="977">
        <f t="shared" si="49"/>
        <v>375</v>
      </c>
      <c r="AN177" s="977">
        <f t="shared" si="63"/>
        <v>563.6</v>
      </c>
      <c r="AO177" s="567">
        <f t="shared" si="50"/>
        <v>0.30797814207650276</v>
      </c>
      <c r="AP177" s="974">
        <f>SUM(AN66:AN70)</f>
        <v>0</v>
      </c>
    </row>
    <row r="178" spans="1:42" ht="20.25">
      <c r="A178" s="972"/>
      <c r="B178" s="973" t="s">
        <v>627</v>
      </c>
      <c r="J178" s="974">
        <f>SUM(J71:J77)</f>
        <v>0</v>
      </c>
      <c r="K178" s="974">
        <f>SUM(K71:K77)</f>
        <v>0</v>
      </c>
      <c r="L178" s="975">
        <f t="shared" si="58"/>
        <v>0</v>
      </c>
      <c r="M178" s="567"/>
      <c r="N178" s="974">
        <f>SUM(N71:N77)</f>
        <v>0</v>
      </c>
      <c r="O178" s="974">
        <f>SUM(O71:O77)</f>
        <v>730.1</v>
      </c>
      <c r="P178" s="974">
        <f>SUM(P71:P77)</f>
        <v>0</v>
      </c>
      <c r="Q178" s="975">
        <f t="shared" si="59"/>
        <v>730.1</v>
      </c>
      <c r="R178" s="567">
        <f t="shared" si="45"/>
        <v>0.1</v>
      </c>
      <c r="S178" s="974">
        <f>SUM(S71:S77)</f>
        <v>73.01</v>
      </c>
      <c r="T178" s="974">
        <f>SUM(T71:T77)</f>
        <v>0</v>
      </c>
      <c r="U178" s="974">
        <f>SUM(U71:U77)</f>
        <v>23</v>
      </c>
      <c r="V178" s="974">
        <f>SUM(V71:V77)</f>
        <v>0</v>
      </c>
      <c r="W178" s="975">
        <f t="shared" si="60"/>
        <v>23</v>
      </c>
      <c r="X178" s="567">
        <f t="shared" si="46"/>
        <v>0</v>
      </c>
      <c r="Y178" s="974">
        <f>SUM(Y71:Y77)</f>
        <v>0</v>
      </c>
      <c r="Z178" s="974">
        <f>SUM(Z71:Z77)</f>
        <v>290</v>
      </c>
      <c r="AA178" s="971">
        <f t="shared" si="64"/>
        <v>753.1</v>
      </c>
      <c r="AB178" s="971">
        <f t="shared" si="64"/>
        <v>0</v>
      </c>
      <c r="AC178" s="971"/>
      <c r="AD178" s="975">
        <f t="shared" si="61"/>
        <v>753.1</v>
      </c>
      <c r="AE178" s="547">
        <f t="shared" si="47"/>
        <v>0.09694595671225602</v>
      </c>
      <c r="AF178" s="567"/>
      <c r="AG178" s="567"/>
      <c r="AH178" s="567"/>
      <c r="AI178" s="567"/>
      <c r="AJ178" s="567"/>
      <c r="AK178" s="567"/>
      <c r="AL178" s="976">
        <f t="shared" si="62"/>
        <v>73.01</v>
      </c>
      <c r="AM178" s="977">
        <f t="shared" si="49"/>
        <v>290</v>
      </c>
      <c r="AN178" s="977">
        <f t="shared" si="63"/>
        <v>363.01</v>
      </c>
      <c r="AO178" s="567">
        <f t="shared" si="50"/>
        <v>0.48202097994954185</v>
      </c>
      <c r="AP178" s="974">
        <f>SUM(AN71:AN77)</f>
        <v>0</v>
      </c>
    </row>
    <row r="179" spans="1:42" ht="20.25">
      <c r="A179" s="972"/>
      <c r="B179" s="973" t="s">
        <v>628</v>
      </c>
      <c r="J179" s="974">
        <f>SUM(J78:J82)</f>
        <v>0</v>
      </c>
      <c r="K179" s="974">
        <f>SUM(K78:K82)</f>
        <v>0</v>
      </c>
      <c r="L179" s="975">
        <f t="shared" si="58"/>
        <v>0</v>
      </c>
      <c r="M179" s="567"/>
      <c r="N179" s="974">
        <f>SUM(N78:N82)</f>
        <v>0</v>
      </c>
      <c r="O179" s="974">
        <f>SUM(O78:O82)</f>
        <v>576</v>
      </c>
      <c r="P179" s="974">
        <f>SUM(P78:P82)</f>
        <v>0</v>
      </c>
      <c r="Q179" s="975">
        <f t="shared" si="59"/>
        <v>576</v>
      </c>
      <c r="R179" s="567">
        <f t="shared" si="45"/>
        <v>0.5458333333333333</v>
      </c>
      <c r="S179" s="974">
        <f>SUM(S78:S82)</f>
        <v>314.4</v>
      </c>
      <c r="T179" s="974">
        <f>SUM(T78:T82)</f>
        <v>0</v>
      </c>
      <c r="U179" s="974">
        <f>SUM(U78:U82)</f>
        <v>0</v>
      </c>
      <c r="V179" s="974">
        <f>SUM(V78:V82)</f>
        <v>0</v>
      </c>
      <c r="W179" s="975">
        <f t="shared" si="60"/>
        <v>0</v>
      </c>
      <c r="X179" s="567"/>
      <c r="Y179" s="974">
        <f>SUM(Y78:Y82)</f>
        <v>0</v>
      </c>
      <c r="Z179" s="974">
        <f>SUM(Z78:Z82)</f>
        <v>100</v>
      </c>
      <c r="AA179" s="971">
        <f t="shared" si="64"/>
        <v>576</v>
      </c>
      <c r="AB179" s="971">
        <f t="shared" si="64"/>
        <v>0</v>
      </c>
      <c r="AC179" s="971"/>
      <c r="AD179" s="975">
        <f t="shared" si="61"/>
        <v>576</v>
      </c>
      <c r="AE179" s="547">
        <f t="shared" si="47"/>
        <v>0.5458333333333333</v>
      </c>
      <c r="AF179" s="567"/>
      <c r="AG179" s="567"/>
      <c r="AH179" s="567"/>
      <c r="AI179" s="567"/>
      <c r="AJ179" s="567"/>
      <c r="AK179" s="567"/>
      <c r="AL179" s="976">
        <f t="shared" si="62"/>
        <v>314.4</v>
      </c>
      <c r="AM179" s="977">
        <f t="shared" si="49"/>
        <v>100</v>
      </c>
      <c r="AN179" s="977">
        <f t="shared" si="63"/>
        <v>414.4</v>
      </c>
      <c r="AO179" s="567">
        <f t="shared" si="50"/>
        <v>0.7194444444444444</v>
      </c>
      <c r="AP179" s="974">
        <f>SUM(AN78:AN82)</f>
        <v>314</v>
      </c>
    </row>
    <row r="180" spans="1:42" ht="20.25">
      <c r="A180" s="972"/>
      <c r="B180" s="973" t="s">
        <v>629</v>
      </c>
      <c r="J180" s="974">
        <f>SUM(J89:J90,J98)</f>
        <v>860.75305997839</v>
      </c>
      <c r="K180" s="974">
        <f>SUM(K89:K90,K98)</f>
        <v>-461</v>
      </c>
      <c r="L180" s="975">
        <f t="shared" si="58"/>
        <v>399.75305997838996</v>
      </c>
      <c r="M180" s="567">
        <f t="shared" si="51"/>
        <v>0.049999999999999996</v>
      </c>
      <c r="N180" s="974">
        <f>SUM(N89:N90,N98)</f>
        <v>19.987652998919497</v>
      </c>
      <c r="O180" s="974">
        <f>SUM(O89:O90,O98)</f>
        <v>756.7</v>
      </c>
      <c r="P180" s="974">
        <f>SUM(P89:P90,P98)</f>
        <v>-101</v>
      </c>
      <c r="Q180" s="975">
        <f t="shared" si="59"/>
        <v>655.7</v>
      </c>
      <c r="R180" s="567">
        <f t="shared" si="45"/>
        <v>0.1</v>
      </c>
      <c r="S180" s="974">
        <f>SUM(S89:S90,S98)</f>
        <v>65.57000000000001</v>
      </c>
      <c r="T180" s="974">
        <f>SUM(T89:T90,T98)</f>
        <v>0</v>
      </c>
      <c r="U180" s="974">
        <f>SUM(U89:U90,U98)</f>
        <v>84.5</v>
      </c>
      <c r="V180" s="974">
        <f>SUM(V89:V90,V98)</f>
        <v>0</v>
      </c>
      <c r="W180" s="975">
        <f t="shared" si="60"/>
        <v>84.5</v>
      </c>
      <c r="X180" s="567">
        <f t="shared" si="46"/>
        <v>0</v>
      </c>
      <c r="Y180" s="974">
        <f>SUM(Y89:Y90,Y98)</f>
        <v>0</v>
      </c>
      <c r="Z180" s="974">
        <f>SUM(Z89:Z90,Z98)</f>
        <v>60</v>
      </c>
      <c r="AA180" s="971">
        <f t="shared" si="64"/>
        <v>1701.95305997839</v>
      </c>
      <c r="AB180" s="971">
        <f t="shared" si="64"/>
        <v>-562</v>
      </c>
      <c r="AC180" s="971"/>
      <c r="AD180" s="975">
        <f t="shared" si="61"/>
        <v>1139.95305997839</v>
      </c>
      <c r="AE180" s="547">
        <f t="shared" si="47"/>
        <v>0.07505366317499197</v>
      </c>
      <c r="AF180" s="567"/>
      <c r="AG180" s="567"/>
      <c r="AH180" s="567"/>
      <c r="AI180" s="567"/>
      <c r="AJ180" s="567"/>
      <c r="AK180" s="567"/>
      <c r="AL180" s="976">
        <f t="shared" si="62"/>
        <v>85.55765299891951</v>
      </c>
      <c r="AM180" s="977">
        <f t="shared" si="49"/>
        <v>60</v>
      </c>
      <c r="AN180" s="977">
        <f t="shared" si="63"/>
        <v>145.5576529989195</v>
      </c>
      <c r="AO180" s="567">
        <f t="shared" si="50"/>
        <v>0.1276874093409415</v>
      </c>
      <c r="AP180" s="974">
        <f>SUM(AN89:AN90,AN98)</f>
        <v>0</v>
      </c>
    </row>
    <row r="181" spans="1:42" ht="20.25">
      <c r="A181" s="980" t="s">
        <v>630</v>
      </c>
      <c r="B181" s="981"/>
      <c r="C181" s="969"/>
      <c r="D181" s="969"/>
      <c r="E181" s="969"/>
      <c r="F181" s="969"/>
      <c r="G181" s="969"/>
      <c r="H181" s="969"/>
      <c r="I181" s="969"/>
      <c r="J181" s="982">
        <f>J157+J161+J172</f>
        <v>11920.815095217416</v>
      </c>
      <c r="K181" s="982">
        <f>K157+K161+K172</f>
        <v>427</v>
      </c>
      <c r="L181" s="982">
        <f>L157+L161+L172</f>
        <v>12347.815095217416</v>
      </c>
      <c r="M181" s="567">
        <f t="shared" si="51"/>
        <v>0.11271005512221596</v>
      </c>
      <c r="N181" s="982">
        <f>N157+N161+N172</f>
        <v>1391.7229200208853</v>
      </c>
      <c r="O181" s="982">
        <f>O157+O161+O172</f>
        <v>12856.6</v>
      </c>
      <c r="P181" s="982">
        <f>P157+P161+P172</f>
        <v>-415.7</v>
      </c>
      <c r="Q181" s="982">
        <f>Q157+Q161+Q172</f>
        <v>12440.9</v>
      </c>
      <c r="R181" s="567">
        <f t="shared" si="45"/>
        <v>0.27770224019162604</v>
      </c>
      <c r="S181" s="982">
        <f>S157+S161+S172</f>
        <v>3454.8658</v>
      </c>
      <c r="T181" s="982">
        <f>T157+T161+T172</f>
        <v>2705</v>
      </c>
      <c r="U181" s="982">
        <f>U157+U161+U172</f>
        <v>2291.1</v>
      </c>
      <c r="V181" s="982">
        <f>V157+V161+V172</f>
        <v>-11.5</v>
      </c>
      <c r="W181" s="982">
        <f>W157+W161+W172</f>
        <v>2279.6</v>
      </c>
      <c r="X181" s="567">
        <f t="shared" si="46"/>
        <v>0.06264082148461586</v>
      </c>
      <c r="Y181" s="982">
        <f>Y157+Y161+Y172</f>
        <v>142.7960166563303</v>
      </c>
      <c r="Z181" s="982">
        <f>Z157+Z161+Z172</f>
        <v>3900.0225</v>
      </c>
      <c r="AA181" s="971">
        <f t="shared" si="64"/>
        <v>27068.515095217415</v>
      </c>
      <c r="AB181" s="971">
        <f t="shared" si="64"/>
        <v>-0.19999999999998863</v>
      </c>
      <c r="AC181" s="971"/>
      <c r="AD181" s="982">
        <f>AD157+AD161+AD172</f>
        <v>27068.31509521742</v>
      </c>
      <c r="AE181" s="547">
        <f t="shared" si="47"/>
        <v>0.18432564860894385</v>
      </c>
      <c r="AF181" s="567"/>
      <c r="AG181" s="567"/>
      <c r="AH181" s="567"/>
      <c r="AI181" s="567"/>
      <c r="AJ181" s="567"/>
      <c r="AK181" s="567"/>
      <c r="AL181" s="982">
        <f>AL157+AL161+AL172</f>
        <v>4989.384736677216</v>
      </c>
      <c r="AM181" s="982">
        <f>AM157+AM161+AM172</f>
        <v>6605.0225</v>
      </c>
      <c r="AN181" s="982">
        <f>AN157+AN161+AN172</f>
        <v>11594.407236677216</v>
      </c>
      <c r="AO181" s="567">
        <f t="shared" si="50"/>
        <v>0.42833871247219896</v>
      </c>
      <c r="AP181" s="982">
        <f>AP157+AP161+AP172</f>
        <v>2342</v>
      </c>
    </row>
    <row r="182" spans="1:25" ht="20.25">
      <c r="A182" s="983" t="s">
        <v>90</v>
      </c>
      <c r="B182" s="984"/>
      <c r="J182" s="985">
        <f>J99</f>
        <v>1828</v>
      </c>
      <c r="K182" s="985"/>
      <c r="L182" s="985">
        <f>L147</f>
        <v>0</v>
      </c>
      <c r="O182" s="985">
        <f>O99</f>
        <v>3075</v>
      </c>
      <c r="P182" s="985"/>
      <c r="Q182" s="985">
        <f>Q147</f>
        <v>0</v>
      </c>
      <c r="S182" s="985">
        <f>S147</f>
        <v>0</v>
      </c>
      <c r="U182" s="985">
        <f>U99</f>
        <v>132</v>
      </c>
      <c r="V182" s="985"/>
      <c r="W182" s="985">
        <f>W147</f>
        <v>0</v>
      </c>
      <c r="Y182" s="985">
        <f>Y147</f>
        <v>0</v>
      </c>
    </row>
    <row r="185" ht="21" thickBot="1"/>
    <row r="186" spans="10:40" ht="20.25">
      <c r="J186" s="779" t="s">
        <v>92</v>
      </c>
      <c r="K186" s="560"/>
      <c r="L186" s="560"/>
      <c r="M186" s="780"/>
      <c r="N186" s="780"/>
      <c r="O186" s="779" t="s">
        <v>93</v>
      </c>
      <c r="P186" s="560"/>
      <c r="Q186" s="560"/>
      <c r="R186" s="781"/>
      <c r="S186" s="782"/>
      <c r="T186" s="783"/>
      <c r="U186" s="784" t="s">
        <v>94</v>
      </c>
      <c r="V186" s="784"/>
      <c r="W186" s="784"/>
      <c r="X186" s="785"/>
      <c r="Y186" s="786"/>
      <c r="Z186" s="787"/>
      <c r="AA186" s="925" t="s">
        <v>95</v>
      </c>
      <c r="AB186" s="926"/>
      <c r="AC186" s="926"/>
      <c r="AD186" s="560"/>
      <c r="AE186" s="927"/>
      <c r="AF186" s="560"/>
      <c r="AG186" s="560"/>
      <c r="AH186" s="560"/>
      <c r="AI186" s="560"/>
      <c r="AJ186" s="560"/>
      <c r="AK186" s="560"/>
      <c r="AL186" s="560"/>
      <c r="AM186" s="792"/>
      <c r="AN186" s="793"/>
    </row>
    <row r="187" spans="10:42" ht="91.5" thickBot="1">
      <c r="J187" s="964" t="s">
        <v>597</v>
      </c>
      <c r="K187" s="808" t="s">
        <v>250</v>
      </c>
      <c r="L187" s="808" t="s">
        <v>251</v>
      </c>
      <c r="M187" s="809" t="s">
        <v>328</v>
      </c>
      <c r="N187" s="810" t="s">
        <v>344</v>
      </c>
      <c r="O187" s="811" t="s">
        <v>461</v>
      </c>
      <c r="P187" s="808" t="s">
        <v>250</v>
      </c>
      <c r="Q187" s="808" t="s">
        <v>251</v>
      </c>
      <c r="R187" s="809" t="s">
        <v>328</v>
      </c>
      <c r="S187" s="810" t="s">
        <v>344</v>
      </c>
      <c r="T187" s="812" t="s">
        <v>330</v>
      </c>
      <c r="U187" s="811" t="s">
        <v>461</v>
      </c>
      <c r="V187" s="808" t="s">
        <v>250</v>
      </c>
      <c r="W187" s="808" t="s">
        <v>251</v>
      </c>
      <c r="X187" s="809" t="s">
        <v>328</v>
      </c>
      <c r="Y187" s="810" t="s">
        <v>344</v>
      </c>
      <c r="Z187" s="813" t="s">
        <v>330</v>
      </c>
      <c r="AA187" s="814" t="s">
        <v>597</v>
      </c>
      <c r="AB187" s="816" t="s">
        <v>250</v>
      </c>
      <c r="AC187" s="816"/>
      <c r="AD187" s="817" t="s">
        <v>251</v>
      </c>
      <c r="AE187" s="818" t="s">
        <v>328</v>
      </c>
      <c r="AF187" s="552"/>
      <c r="AG187" s="552"/>
      <c r="AH187" s="552"/>
      <c r="AI187" s="552"/>
      <c r="AJ187" s="552"/>
      <c r="AK187" s="552"/>
      <c r="AL187" s="813" t="s">
        <v>329</v>
      </c>
      <c r="AM187" s="812" t="s">
        <v>330</v>
      </c>
      <c r="AN187" s="812" t="s">
        <v>603</v>
      </c>
      <c r="AO187" s="552" t="s">
        <v>604</v>
      </c>
      <c r="AP187" s="819" t="s">
        <v>601</v>
      </c>
    </row>
    <row r="188" spans="1:42" ht="20.25">
      <c r="A188" s="965" t="s">
        <v>605</v>
      </c>
      <c r="B188" s="966"/>
      <c r="AN188" s="565"/>
      <c r="AO188" s="565"/>
      <c r="AP188" s="958"/>
    </row>
    <row r="189" spans="1:42" ht="20.25">
      <c r="A189" s="967" t="s">
        <v>606</v>
      </c>
      <c r="B189" s="968"/>
      <c r="C189" s="969"/>
      <c r="D189" s="969"/>
      <c r="E189" s="969"/>
      <c r="F189" s="969"/>
      <c r="G189" s="969"/>
      <c r="H189" s="969"/>
      <c r="I189" s="969"/>
      <c r="J189" s="970">
        <f>+J157-'[2]Contingency'!I156</f>
        <v>0</v>
      </c>
      <c r="K189" s="970">
        <f>+K157-'[2]Contingency'!J156</f>
        <v>0</v>
      </c>
      <c r="L189" s="970">
        <f>+L157-'[2]Contingency'!K156</f>
        <v>0</v>
      </c>
      <c r="M189" s="567">
        <f>+M157-'[2]Contingency'!L156</f>
        <v>0</v>
      </c>
      <c r="N189" s="970">
        <f>+N157-'[2]Contingency'!M156</f>
        <v>0</v>
      </c>
      <c r="O189" s="970">
        <f>+O157-'[2]Contingency'!N156</f>
        <v>0</v>
      </c>
      <c r="P189" s="970">
        <f>+P157-'[2]Contingency'!O156</f>
        <v>0</v>
      </c>
      <c r="Q189" s="970">
        <f>+Q157-'[2]Contingency'!P156</f>
        <v>0</v>
      </c>
      <c r="R189" s="567">
        <f>+R157-'[2]Contingency'!Q156</f>
        <v>0</v>
      </c>
      <c r="S189" s="970">
        <f>+S157-'[2]Contingency'!R156</f>
        <v>0</v>
      </c>
      <c r="T189" s="970">
        <f>+T157-'[2]Contingency'!S156</f>
        <v>0</v>
      </c>
      <c r="U189" s="970">
        <f>+U157-'[2]Contingency'!T156</f>
        <v>0</v>
      </c>
      <c r="V189" s="970">
        <f>+V157-'[2]Contingency'!U156</f>
        <v>0</v>
      </c>
      <c r="W189" s="970">
        <f>+W157-'[2]Contingency'!V156</f>
        <v>0</v>
      </c>
      <c r="X189" s="567">
        <f>+X157-'[2]Contingency'!W156</f>
        <v>0</v>
      </c>
      <c r="Y189" s="970">
        <f>+Y157-'[2]Contingency'!X156</f>
        <v>0</v>
      </c>
      <c r="Z189" s="970">
        <f>+Z157-'[2]Contingency'!Y156</f>
        <v>0</v>
      </c>
      <c r="AA189" s="971">
        <f>+AA157-'[2]Contingency'!Z156</f>
        <v>0</v>
      </c>
      <c r="AB189" s="971">
        <f>+AB157-'[2]Contingency'!AA156</f>
        <v>0</v>
      </c>
      <c r="AC189" s="971"/>
      <c r="AD189" s="970">
        <f>+AD157-'[2]Contingency'!AB156</f>
        <v>0</v>
      </c>
      <c r="AE189" s="547">
        <f>+AE157-'[2]Contingency'!AC156</f>
        <v>0</v>
      </c>
      <c r="AF189" s="567"/>
      <c r="AG189" s="567"/>
      <c r="AH189" s="567"/>
      <c r="AI189" s="567"/>
      <c r="AJ189" s="567"/>
      <c r="AK189" s="567"/>
      <c r="AL189" s="970">
        <f>+AL157-'[2]Contingency'!AD156</f>
        <v>0</v>
      </c>
      <c r="AM189" s="970">
        <f>+AM157-'[2]Contingency'!AE156</f>
        <v>0</v>
      </c>
      <c r="AN189" s="970">
        <f>+AN157-'[2]Contingency'!AF156</f>
        <v>0</v>
      </c>
      <c r="AO189" s="567">
        <f>+AO157-'[2]Contingency'!AG156</f>
        <v>0</v>
      </c>
      <c r="AP189" s="970">
        <f>+AP157-'[2]Contingency'!AH156</f>
        <v>0</v>
      </c>
    </row>
    <row r="190" spans="1:42" ht="36">
      <c r="A190" s="972"/>
      <c r="B190" s="973" t="s">
        <v>607</v>
      </c>
      <c r="J190" s="974">
        <f>+J158-'[2]Contingency'!I157</f>
        <v>0</v>
      </c>
      <c r="K190" s="974">
        <f>+K158-'[2]Contingency'!J157</f>
        <v>0</v>
      </c>
      <c r="L190" s="975">
        <f>+L158-'[2]Contingency'!K157</f>
        <v>0</v>
      </c>
      <c r="M190" s="567">
        <f>+M158-'[2]Contingency'!L157</f>
        <v>0</v>
      </c>
      <c r="N190" s="974">
        <f>+N158-'[2]Contingency'!M157</f>
        <v>0</v>
      </c>
      <c r="O190" s="974">
        <f>+O158-'[2]Contingency'!N157</f>
        <v>0</v>
      </c>
      <c r="P190" s="974">
        <f>+P158-'[2]Contingency'!O157</f>
        <v>0</v>
      </c>
      <c r="Q190" s="975">
        <f>+Q158-'[2]Contingency'!P157</f>
        <v>0</v>
      </c>
      <c r="R190" s="567">
        <f>+R158-'[2]Contingency'!Q157</f>
        <v>0</v>
      </c>
      <c r="S190" s="974">
        <f>+S158-'[2]Contingency'!R157</f>
        <v>0</v>
      </c>
      <c r="T190" s="974">
        <f>+T158-'[2]Contingency'!S157</f>
        <v>0</v>
      </c>
      <c r="U190" s="974">
        <f>+U158-'[2]Contingency'!T157</f>
        <v>0</v>
      </c>
      <c r="V190" s="974">
        <f>+V158-'[2]Contingency'!U157</f>
        <v>0</v>
      </c>
      <c r="W190" s="975">
        <f>+W158-'[2]Contingency'!V157</f>
        <v>0</v>
      </c>
      <c r="X190" s="567" t="e">
        <f>+X158-'[2]Contingency'!W157</f>
        <v>#REF!</v>
      </c>
      <c r="Y190" s="974">
        <f>+Y158-'[2]Contingency'!X157</f>
        <v>0</v>
      </c>
      <c r="Z190" s="974">
        <f>+Z158-'[2]Contingency'!Y157</f>
        <v>0</v>
      </c>
      <c r="AA190" s="971">
        <f>+AA158-'[2]Contingency'!Z157</f>
        <v>0</v>
      </c>
      <c r="AB190" s="971">
        <f>+AB158-'[2]Contingency'!AA157</f>
        <v>0</v>
      </c>
      <c r="AC190" s="971"/>
      <c r="AD190" s="975">
        <f>+AD158-'[2]Contingency'!AB157</f>
        <v>0</v>
      </c>
      <c r="AE190" s="547">
        <f>+AE158-'[2]Contingency'!AC157</f>
        <v>0</v>
      </c>
      <c r="AF190" s="567"/>
      <c r="AG190" s="567"/>
      <c r="AH190" s="567"/>
      <c r="AI190" s="567"/>
      <c r="AJ190" s="567"/>
      <c r="AK190" s="567"/>
      <c r="AL190" s="976">
        <f>+AL158-'[2]Contingency'!AD157</f>
        <v>0</v>
      </c>
      <c r="AM190" s="977">
        <f>+AM158-'[2]Contingency'!AE157</f>
        <v>0</v>
      </c>
      <c r="AN190" s="977">
        <f>+AN158-'[2]Contingency'!AF157</f>
        <v>0</v>
      </c>
      <c r="AO190" s="567">
        <f>+AO158-'[2]Contingency'!AG157</f>
        <v>0</v>
      </c>
      <c r="AP190" s="974">
        <f>+AP158-'[2]Contingency'!AH157</f>
        <v>0</v>
      </c>
    </row>
    <row r="191" spans="1:42" ht="36">
      <c r="A191" s="972"/>
      <c r="B191" s="973" t="s">
        <v>608</v>
      </c>
      <c r="J191" s="974">
        <f>+J159-'[2]Contingency'!I158</f>
        <v>0</v>
      </c>
      <c r="K191" s="974">
        <f>+K159-'[2]Contingency'!J158</f>
        <v>0</v>
      </c>
      <c r="L191" s="975">
        <f>+L159-'[2]Contingency'!K158</f>
        <v>0</v>
      </c>
      <c r="M191" s="567">
        <f>+M159-'[2]Contingency'!L158</f>
        <v>0</v>
      </c>
      <c r="N191" s="974">
        <f>+N159-'[2]Contingency'!M158</f>
        <v>0</v>
      </c>
      <c r="O191" s="974">
        <f>+O159-'[2]Contingency'!N158</f>
        <v>0</v>
      </c>
      <c r="P191" s="974">
        <f>+P159-'[2]Contingency'!O158</f>
        <v>0</v>
      </c>
      <c r="Q191" s="975">
        <f>+Q159-'[2]Contingency'!P158</f>
        <v>0</v>
      </c>
      <c r="R191" s="567">
        <f>+R159-'[2]Contingency'!Q158</f>
        <v>0</v>
      </c>
      <c r="S191" s="974">
        <f>+S159-'[2]Contingency'!R158</f>
        <v>0</v>
      </c>
      <c r="T191" s="974">
        <f>+T159-'[2]Contingency'!S158</f>
        <v>0</v>
      </c>
      <c r="U191" s="974">
        <f>+U159-'[2]Contingency'!T158</f>
        <v>0</v>
      </c>
      <c r="V191" s="974">
        <f>+V159-'[2]Contingency'!U158</f>
        <v>0</v>
      </c>
      <c r="W191" s="975">
        <f>+W159-'[2]Contingency'!V158</f>
        <v>0</v>
      </c>
      <c r="X191" s="567" t="e">
        <f>+X159-'[2]Contingency'!W158</f>
        <v>#REF!</v>
      </c>
      <c r="Y191" s="974">
        <f>+Y159-'[2]Contingency'!X158</f>
        <v>0</v>
      </c>
      <c r="Z191" s="974">
        <f>+Z159-'[2]Contingency'!Y158</f>
        <v>0</v>
      </c>
      <c r="AA191" s="971">
        <f>+AA159-'[2]Contingency'!Z158</f>
        <v>0</v>
      </c>
      <c r="AB191" s="971">
        <f>+AB159-'[2]Contingency'!AA158</f>
        <v>0</v>
      </c>
      <c r="AC191" s="971"/>
      <c r="AD191" s="975">
        <f>+AD159-'[2]Contingency'!AB158</f>
        <v>0</v>
      </c>
      <c r="AE191" s="547">
        <f>+AE159-'[2]Contingency'!AC158</f>
        <v>0</v>
      </c>
      <c r="AF191" s="567"/>
      <c r="AG191" s="567"/>
      <c r="AH191" s="567"/>
      <c r="AI191" s="567"/>
      <c r="AJ191" s="567"/>
      <c r="AK191" s="567"/>
      <c r="AL191" s="976">
        <f>+AL159-'[2]Contingency'!AD158</f>
        <v>0</v>
      </c>
      <c r="AM191" s="977">
        <f>+AM159-'[2]Contingency'!AE158</f>
        <v>0</v>
      </c>
      <c r="AN191" s="977">
        <f>+AN159-'[2]Contingency'!AF158</f>
        <v>0</v>
      </c>
      <c r="AO191" s="567">
        <f>+AO159-'[2]Contingency'!AG158</f>
        <v>0</v>
      </c>
      <c r="AP191" s="974">
        <f>+AP159-'[2]Contingency'!AH158</f>
        <v>0</v>
      </c>
    </row>
    <row r="192" spans="1:42" ht="20.25">
      <c r="A192" s="972"/>
      <c r="B192" s="973" t="s">
        <v>609</v>
      </c>
      <c r="J192" s="974">
        <f>+J160-'[2]Contingency'!I159</f>
        <v>0</v>
      </c>
      <c r="K192" s="974">
        <f>+K160-'[2]Contingency'!J159</f>
        <v>0</v>
      </c>
      <c r="L192" s="975">
        <f>+L160-'[2]Contingency'!K159</f>
        <v>0</v>
      </c>
      <c r="M192" s="567">
        <f>+M160-'[2]Contingency'!L159</f>
        <v>0</v>
      </c>
      <c r="N192" s="974">
        <f>+N160-'[2]Contingency'!M159</f>
        <v>0</v>
      </c>
      <c r="O192" s="974">
        <f>+O160-'[2]Contingency'!N159</f>
        <v>0</v>
      </c>
      <c r="P192" s="974">
        <f>+P160-'[2]Contingency'!O159</f>
        <v>0</v>
      </c>
      <c r="Q192" s="975">
        <f>+Q160-'[2]Contingency'!P159</f>
        <v>0</v>
      </c>
      <c r="R192" s="567">
        <f>+R160-'[2]Contingency'!Q159</f>
        <v>0</v>
      </c>
      <c r="S192" s="974">
        <f>+S160-'[2]Contingency'!R159</f>
        <v>0</v>
      </c>
      <c r="T192" s="974">
        <f>+T160-'[2]Contingency'!S159</f>
        <v>0</v>
      </c>
      <c r="U192" s="974">
        <f>+U160-'[2]Contingency'!T159</f>
        <v>0</v>
      </c>
      <c r="V192" s="974">
        <f>+V160-'[2]Contingency'!U159</f>
        <v>0</v>
      </c>
      <c r="W192" s="975">
        <f>+W160-'[2]Contingency'!V159</f>
        <v>0</v>
      </c>
      <c r="X192" s="567">
        <f>+X160-'[2]Contingency'!W159</f>
        <v>0</v>
      </c>
      <c r="Y192" s="974">
        <f>+Y160-'[2]Contingency'!X159</f>
        <v>0</v>
      </c>
      <c r="Z192" s="974">
        <f>+Z160-'[2]Contingency'!Y159</f>
        <v>0</v>
      </c>
      <c r="AA192" s="971">
        <f>+AA160-'[2]Contingency'!Z159</f>
        <v>0</v>
      </c>
      <c r="AB192" s="971">
        <f>+AB160-'[2]Contingency'!AA159</f>
        <v>0</v>
      </c>
      <c r="AC192" s="971"/>
      <c r="AD192" s="975">
        <f>+AD160-'[2]Contingency'!AB159</f>
        <v>0</v>
      </c>
      <c r="AE192" s="547">
        <f>+AE160-'[2]Contingency'!AC159</f>
        <v>0</v>
      </c>
      <c r="AF192" s="567"/>
      <c r="AG192" s="567"/>
      <c r="AH192" s="567"/>
      <c r="AI192" s="567"/>
      <c r="AJ192" s="567"/>
      <c r="AK192" s="567"/>
      <c r="AL192" s="976">
        <f>+AL160-'[2]Contingency'!AD159</f>
        <v>0</v>
      </c>
      <c r="AM192" s="977">
        <f>+AM160-'[2]Contingency'!AE159</f>
        <v>0</v>
      </c>
      <c r="AN192" s="977">
        <f>+AN160-'[2]Contingency'!AF159</f>
        <v>0</v>
      </c>
      <c r="AO192" s="567">
        <f>+AO160-'[2]Contingency'!AG159</f>
        <v>0</v>
      </c>
      <c r="AP192" s="974">
        <f>+AP160-'[2]Contingency'!AH159</f>
        <v>0</v>
      </c>
    </row>
    <row r="193" spans="1:42" ht="20.25">
      <c r="A193" s="979" t="s">
        <v>610</v>
      </c>
      <c r="B193" s="968"/>
      <c r="C193" s="969"/>
      <c r="D193" s="969"/>
      <c r="E193" s="969"/>
      <c r="F193" s="969"/>
      <c r="G193" s="969"/>
      <c r="H193" s="969"/>
      <c r="I193" s="969"/>
      <c r="J193" s="970">
        <f>+J161-'[2]Contingency'!I160</f>
        <v>0</v>
      </c>
      <c r="K193" s="970">
        <f>+K161-'[2]Contingency'!J160</f>
        <v>0</v>
      </c>
      <c r="L193" s="970">
        <f>+L161-'[2]Contingency'!K160</f>
        <v>0</v>
      </c>
      <c r="M193" s="567">
        <f>+M161-'[2]Contingency'!L160</f>
        <v>0</v>
      </c>
      <c r="N193" s="970">
        <f>+N161-'[2]Contingency'!M160</f>
        <v>0</v>
      </c>
      <c r="O193" s="970">
        <f>+O161-'[2]Contingency'!N160</f>
        <v>0</v>
      </c>
      <c r="P193" s="970">
        <f>+P161-'[2]Contingency'!O160</f>
        <v>0</v>
      </c>
      <c r="Q193" s="970">
        <f>+Q161-'[2]Contingency'!P160</f>
        <v>0</v>
      </c>
      <c r="R193" s="567">
        <f>+R161-'[2]Contingency'!Q160</f>
        <v>0</v>
      </c>
      <c r="S193" s="970">
        <f>+S161-'[2]Contingency'!R160</f>
        <v>0</v>
      </c>
      <c r="T193" s="970">
        <f>+T161-'[2]Contingency'!S160</f>
        <v>0</v>
      </c>
      <c r="U193" s="970">
        <f>+U161-'[2]Contingency'!T160</f>
        <v>0</v>
      </c>
      <c r="V193" s="970">
        <f>+V161-'[2]Contingency'!U160</f>
        <v>0</v>
      </c>
      <c r="W193" s="970">
        <f>+W161-'[2]Contingency'!V160</f>
        <v>0</v>
      </c>
      <c r="X193" s="567">
        <f>+X161-'[2]Contingency'!W160</f>
        <v>0</v>
      </c>
      <c r="Y193" s="970">
        <f>+Y161-'[2]Contingency'!X160</f>
        <v>0</v>
      </c>
      <c r="Z193" s="970">
        <f>+Z161-'[2]Contingency'!Y160</f>
        <v>0</v>
      </c>
      <c r="AA193" s="971">
        <f>+AA161-'[2]Contingency'!Z160</f>
        <v>0</v>
      </c>
      <c r="AB193" s="971">
        <f>+AB161-'[2]Contingency'!AA160</f>
        <v>0</v>
      </c>
      <c r="AC193" s="971"/>
      <c r="AD193" s="970">
        <f>+AD161-'[2]Contingency'!AB160</f>
        <v>0</v>
      </c>
      <c r="AE193" s="547">
        <f>+AE161-'[2]Contingency'!AC160</f>
        <v>0</v>
      </c>
      <c r="AF193" s="567"/>
      <c r="AG193" s="567"/>
      <c r="AH193" s="567"/>
      <c r="AI193" s="567"/>
      <c r="AJ193" s="567"/>
      <c r="AK193" s="567"/>
      <c r="AL193" s="970">
        <f>+AL161-'[2]Contingency'!AD160</f>
        <v>0</v>
      </c>
      <c r="AM193" s="970">
        <f>+AM161-'[2]Contingency'!AE160</f>
        <v>0</v>
      </c>
      <c r="AN193" s="970">
        <f>+AN161-'[2]Contingency'!AF160</f>
        <v>0</v>
      </c>
      <c r="AO193" s="567">
        <f>+AO161-'[2]Contingency'!AG160</f>
        <v>0</v>
      </c>
      <c r="AP193" s="970">
        <f>+AP161-'[2]Contingency'!AH160</f>
        <v>0</v>
      </c>
    </row>
    <row r="194" spans="1:42" ht="20.25">
      <c r="A194" s="972"/>
      <c r="B194" s="973" t="s">
        <v>611</v>
      </c>
      <c r="J194" s="974">
        <f>+J162-'[2]Contingency'!I161</f>
        <v>0</v>
      </c>
      <c r="K194" s="974">
        <f>+K162-'[2]Contingency'!J161</f>
        <v>0</v>
      </c>
      <c r="L194" s="975">
        <f>+L162-'[2]Contingency'!K161</f>
        <v>0</v>
      </c>
      <c r="M194" s="567">
        <f>+M162-'[2]Contingency'!L161</f>
        <v>0</v>
      </c>
      <c r="N194" s="974">
        <f>+N162-'[2]Contingency'!M161</f>
        <v>0</v>
      </c>
      <c r="O194" s="974">
        <f>+O162-'[2]Contingency'!N161</f>
        <v>0</v>
      </c>
      <c r="P194" s="974">
        <f>+P162-'[2]Contingency'!O161</f>
        <v>0</v>
      </c>
      <c r="Q194" s="975">
        <f>+Q162-'[2]Contingency'!P161</f>
        <v>0</v>
      </c>
      <c r="R194" s="567">
        <f>+R162-'[2]Contingency'!Q161</f>
        <v>0</v>
      </c>
      <c r="S194" s="974">
        <f>+S162-'[2]Contingency'!R161</f>
        <v>0</v>
      </c>
      <c r="T194" s="974">
        <f>+T162-'[2]Contingency'!S161</f>
        <v>0</v>
      </c>
      <c r="U194" s="974">
        <f>+U162-'[2]Contingency'!T161</f>
        <v>0</v>
      </c>
      <c r="V194" s="974">
        <f>+V162-'[2]Contingency'!U161</f>
        <v>0</v>
      </c>
      <c r="W194" s="975">
        <f>+W162-'[2]Contingency'!V161</f>
        <v>0</v>
      </c>
      <c r="X194" s="567" t="e">
        <f>+X162-'[2]Contingency'!W161</f>
        <v>#REF!</v>
      </c>
      <c r="Y194" s="974">
        <f>+Y162-'[2]Contingency'!X161</f>
        <v>0</v>
      </c>
      <c r="Z194" s="974">
        <f>+Z162-'[2]Contingency'!Y161</f>
        <v>0</v>
      </c>
      <c r="AA194" s="971">
        <f>+AA162-'[2]Contingency'!Z161</f>
        <v>0</v>
      </c>
      <c r="AB194" s="971">
        <f>+AB162-'[2]Contingency'!AA161</f>
        <v>0</v>
      </c>
      <c r="AC194" s="971"/>
      <c r="AD194" s="975">
        <f>+AD162-'[2]Contingency'!AB161</f>
        <v>0</v>
      </c>
      <c r="AE194" s="547">
        <f>+AE162-'[2]Contingency'!AC161</f>
        <v>0</v>
      </c>
      <c r="AF194" s="567"/>
      <c r="AG194" s="567"/>
      <c r="AH194" s="567"/>
      <c r="AI194" s="567"/>
      <c r="AJ194" s="567"/>
      <c r="AK194" s="567"/>
      <c r="AL194" s="976">
        <f>+AL162-'[2]Contingency'!AD161</f>
        <v>0</v>
      </c>
      <c r="AM194" s="977">
        <f>+AM162-'[2]Contingency'!AE161</f>
        <v>0</v>
      </c>
      <c r="AN194" s="977">
        <f>+AN162-'[2]Contingency'!AF161</f>
        <v>0</v>
      </c>
      <c r="AO194" s="567">
        <f>+AO162-'[2]Contingency'!AG161</f>
        <v>0</v>
      </c>
      <c r="AP194" s="974">
        <f>+AP162-'[2]Contingency'!AH161</f>
        <v>0</v>
      </c>
    </row>
    <row r="195" spans="1:42" ht="36">
      <c r="A195" s="972"/>
      <c r="B195" s="973" t="s">
        <v>612</v>
      </c>
      <c r="J195" s="974">
        <f>+J163-'[2]Contingency'!I162</f>
        <v>0</v>
      </c>
      <c r="K195" s="974">
        <f>+K163-'[2]Contingency'!J162</f>
        <v>0</v>
      </c>
      <c r="L195" s="975">
        <f>+L163-'[2]Contingency'!K162</f>
        <v>0</v>
      </c>
      <c r="M195" s="567">
        <f>+M163-'[2]Contingency'!L162</f>
        <v>0</v>
      </c>
      <c r="N195" s="974">
        <f>+N163-'[2]Contingency'!M162</f>
        <v>0</v>
      </c>
      <c r="O195" s="974">
        <f>+O163-'[2]Contingency'!N162</f>
        <v>0</v>
      </c>
      <c r="P195" s="974">
        <f>+P163-'[2]Contingency'!O162</f>
        <v>0</v>
      </c>
      <c r="Q195" s="975">
        <f>+Q163-'[2]Contingency'!P162</f>
        <v>0</v>
      </c>
      <c r="R195" s="567">
        <f>+R163-'[2]Contingency'!Q162</f>
        <v>0</v>
      </c>
      <c r="S195" s="974">
        <f>+S163-'[2]Contingency'!R162</f>
        <v>0</v>
      </c>
      <c r="T195" s="974">
        <f>+T163-'[2]Contingency'!S162</f>
        <v>0</v>
      </c>
      <c r="U195" s="974">
        <f>+U163-'[2]Contingency'!T162</f>
        <v>0</v>
      </c>
      <c r="V195" s="974">
        <f>+V163-'[2]Contingency'!U162</f>
        <v>0</v>
      </c>
      <c r="W195" s="975">
        <f>+W163-'[2]Contingency'!V162</f>
        <v>0</v>
      </c>
      <c r="X195" s="567" t="e">
        <f>+X163-'[2]Contingency'!W162</f>
        <v>#REF!</v>
      </c>
      <c r="Y195" s="974">
        <f>+Y163-'[2]Contingency'!X162</f>
        <v>0</v>
      </c>
      <c r="Z195" s="974">
        <f>+Z163-'[2]Contingency'!Y162</f>
        <v>0</v>
      </c>
      <c r="AA195" s="971">
        <f>+AA163-'[2]Contingency'!Z162</f>
        <v>0</v>
      </c>
      <c r="AB195" s="971">
        <f>+AB163-'[2]Contingency'!AA162</f>
        <v>0</v>
      </c>
      <c r="AC195" s="971"/>
      <c r="AD195" s="975">
        <f>+AD163-'[2]Contingency'!AB162</f>
        <v>0</v>
      </c>
      <c r="AE195" s="547">
        <f>+AE163-'[2]Contingency'!AC162</f>
        <v>0</v>
      </c>
      <c r="AF195" s="567"/>
      <c r="AG195" s="567"/>
      <c r="AH195" s="567"/>
      <c r="AI195" s="567"/>
      <c r="AJ195" s="567"/>
      <c r="AK195" s="567"/>
      <c r="AL195" s="976">
        <f>+AL163-'[2]Contingency'!AD162</f>
        <v>0</v>
      </c>
      <c r="AM195" s="977">
        <f>+AM163-'[2]Contingency'!AE162</f>
        <v>0</v>
      </c>
      <c r="AN195" s="977">
        <f>+AN163-'[2]Contingency'!AF162</f>
        <v>0</v>
      </c>
      <c r="AO195" s="567">
        <f>+AO163-'[2]Contingency'!AG162</f>
        <v>0</v>
      </c>
      <c r="AP195" s="974">
        <f>+AP163-'[2]Contingency'!AH162</f>
        <v>0</v>
      </c>
    </row>
    <row r="196" spans="1:42" ht="36">
      <c r="A196" s="972"/>
      <c r="B196" s="973" t="s">
        <v>613</v>
      </c>
      <c r="J196" s="974">
        <f>+J164-'[2]Contingency'!I163</f>
        <v>0</v>
      </c>
      <c r="K196" s="974">
        <f>+K164-'[2]Contingency'!J163</f>
        <v>0</v>
      </c>
      <c r="L196" s="975">
        <f>+L164-'[2]Contingency'!K163</f>
        <v>0</v>
      </c>
      <c r="M196" s="567">
        <f>+M164-'[2]Contingency'!L163</f>
        <v>0</v>
      </c>
      <c r="N196" s="974">
        <f>+N164-'[2]Contingency'!M163</f>
        <v>0</v>
      </c>
      <c r="O196" s="974">
        <f>+O164-'[2]Contingency'!N163</f>
        <v>0</v>
      </c>
      <c r="P196" s="974">
        <f>+P164-'[2]Contingency'!O163</f>
        <v>0</v>
      </c>
      <c r="Q196" s="975">
        <f>+Q164-'[2]Contingency'!P163</f>
        <v>0</v>
      </c>
      <c r="R196" s="567" t="e">
        <f>+R164-'[2]Contingency'!Q163</f>
        <v>#REF!</v>
      </c>
      <c r="S196" s="974">
        <f>+S164-'[2]Contingency'!R163</f>
        <v>0</v>
      </c>
      <c r="T196" s="974">
        <f>+T164-'[2]Contingency'!S163</f>
        <v>0</v>
      </c>
      <c r="U196" s="974">
        <f>+U164-'[2]Contingency'!T163</f>
        <v>0</v>
      </c>
      <c r="V196" s="974">
        <f>+V164-'[2]Contingency'!U163</f>
        <v>0</v>
      </c>
      <c r="W196" s="975">
        <f>+W164-'[2]Contingency'!V163</f>
        <v>0</v>
      </c>
      <c r="X196" s="567" t="e">
        <f>+X164-'[2]Contingency'!W163</f>
        <v>#REF!</v>
      </c>
      <c r="Y196" s="974">
        <f>+Y164-'[2]Contingency'!X163</f>
        <v>0</v>
      </c>
      <c r="Z196" s="974">
        <f>+Z164-'[2]Contingency'!Y163</f>
        <v>0</v>
      </c>
      <c r="AA196" s="971">
        <f>+AA164-'[2]Contingency'!Z163</f>
        <v>0</v>
      </c>
      <c r="AB196" s="971">
        <f>+AB164-'[2]Contingency'!AA163</f>
        <v>0</v>
      </c>
      <c r="AC196" s="971"/>
      <c r="AD196" s="975">
        <f>+AD164-'[2]Contingency'!AB163</f>
        <v>0</v>
      </c>
      <c r="AE196" s="547">
        <f>+AE164-'[2]Contingency'!AC163</f>
        <v>0</v>
      </c>
      <c r="AF196" s="567"/>
      <c r="AG196" s="567"/>
      <c r="AH196" s="567"/>
      <c r="AI196" s="567"/>
      <c r="AJ196" s="567"/>
      <c r="AK196" s="567"/>
      <c r="AL196" s="976">
        <f>+AL164-'[2]Contingency'!AD163</f>
        <v>0</v>
      </c>
      <c r="AM196" s="977">
        <f>+AM164-'[2]Contingency'!AE163</f>
        <v>0</v>
      </c>
      <c r="AN196" s="977">
        <f>+AN164-'[2]Contingency'!AF163</f>
        <v>0</v>
      </c>
      <c r="AO196" s="567">
        <f>+AO164-'[2]Contingency'!AG163</f>
        <v>0</v>
      </c>
      <c r="AP196" s="974">
        <f>+AP164-'[2]Contingency'!AH163</f>
        <v>0</v>
      </c>
    </row>
    <row r="197" spans="1:42" ht="36">
      <c r="A197" s="972"/>
      <c r="B197" s="973" t="s">
        <v>614</v>
      </c>
      <c r="J197" s="974">
        <f>+J165-'[2]Contingency'!I164</f>
        <v>0</v>
      </c>
      <c r="K197" s="974">
        <f>+K165-'[2]Contingency'!J164</f>
        <v>0</v>
      </c>
      <c r="L197" s="975">
        <f>+L165-'[2]Contingency'!K164</f>
        <v>0</v>
      </c>
      <c r="M197" s="567">
        <f>+M165-'[2]Contingency'!L164</f>
        <v>0</v>
      </c>
      <c r="N197" s="974">
        <f>+N165-'[2]Contingency'!M164</f>
        <v>0</v>
      </c>
      <c r="O197" s="974">
        <f>+O165-'[2]Contingency'!N164</f>
        <v>0</v>
      </c>
      <c r="P197" s="974">
        <f>+P165-'[2]Contingency'!O164</f>
        <v>0</v>
      </c>
      <c r="Q197" s="975">
        <f>+Q165-'[2]Contingency'!P164</f>
        <v>0</v>
      </c>
      <c r="R197" s="567" t="e">
        <f>+R165-'[2]Contingency'!Q164</f>
        <v>#REF!</v>
      </c>
      <c r="S197" s="974">
        <f>+S165-'[2]Contingency'!R164</f>
        <v>0</v>
      </c>
      <c r="T197" s="974">
        <f>+T165-'[2]Contingency'!S164</f>
        <v>0</v>
      </c>
      <c r="U197" s="974">
        <f>+U165-'[2]Contingency'!T164</f>
        <v>0</v>
      </c>
      <c r="V197" s="974">
        <f>+V165-'[2]Contingency'!U164</f>
        <v>0</v>
      </c>
      <c r="W197" s="975">
        <f>+W165-'[2]Contingency'!V164</f>
        <v>0</v>
      </c>
      <c r="X197" s="567" t="e">
        <f>+X165-'[2]Contingency'!W164</f>
        <v>#REF!</v>
      </c>
      <c r="Y197" s="974">
        <f>+Y165-'[2]Contingency'!X164</f>
        <v>0</v>
      </c>
      <c r="Z197" s="974">
        <f>+Z165-'[2]Contingency'!Y164</f>
        <v>0</v>
      </c>
      <c r="AA197" s="971">
        <f>+AA165-'[2]Contingency'!Z164</f>
        <v>0</v>
      </c>
      <c r="AB197" s="971">
        <f>+AB165-'[2]Contingency'!AA164</f>
        <v>0</v>
      </c>
      <c r="AC197" s="971"/>
      <c r="AD197" s="975">
        <f>+AD165-'[2]Contingency'!AB164</f>
        <v>0</v>
      </c>
      <c r="AE197" s="547">
        <f>+AE165-'[2]Contingency'!AC164</f>
        <v>0</v>
      </c>
      <c r="AF197" s="567"/>
      <c r="AG197" s="567"/>
      <c r="AH197" s="567"/>
      <c r="AI197" s="567"/>
      <c r="AJ197" s="567"/>
      <c r="AK197" s="567"/>
      <c r="AL197" s="976">
        <f>+AL165-'[2]Contingency'!AD164</f>
        <v>0</v>
      </c>
      <c r="AM197" s="977">
        <f>+AM165-'[2]Contingency'!AE164</f>
        <v>0</v>
      </c>
      <c r="AN197" s="977">
        <f>+AN165-'[2]Contingency'!AF164</f>
        <v>0</v>
      </c>
      <c r="AO197" s="567">
        <f>+AO165-'[2]Contingency'!AG164</f>
        <v>0</v>
      </c>
      <c r="AP197" s="974">
        <f>+AP165-'[2]Contingency'!AH164</f>
        <v>0</v>
      </c>
    </row>
    <row r="198" spans="1:42" ht="20.25">
      <c r="A198" s="972"/>
      <c r="B198" s="973" t="s">
        <v>615</v>
      </c>
      <c r="J198" s="974">
        <f>+J166-'[2]Contingency'!I165</f>
        <v>0</v>
      </c>
      <c r="K198" s="974">
        <f>+K166-'[2]Contingency'!J165</f>
        <v>0</v>
      </c>
      <c r="L198" s="975">
        <f>+L166-'[2]Contingency'!K165</f>
        <v>0</v>
      </c>
      <c r="M198" s="567">
        <f>+M166-'[2]Contingency'!L165</f>
        <v>0</v>
      </c>
      <c r="N198" s="974">
        <f>+N166-'[2]Contingency'!M165</f>
        <v>0</v>
      </c>
      <c r="O198" s="974">
        <f>+O166-'[2]Contingency'!N165</f>
        <v>0</v>
      </c>
      <c r="P198" s="974">
        <f>+P166-'[2]Contingency'!O165</f>
        <v>0</v>
      </c>
      <c r="Q198" s="975">
        <f>+Q166-'[2]Contingency'!P165</f>
        <v>0</v>
      </c>
      <c r="R198" s="567">
        <f>+R166-'[2]Contingency'!Q165</f>
        <v>0</v>
      </c>
      <c r="S198" s="974">
        <f>+S166-'[2]Contingency'!R165</f>
        <v>0</v>
      </c>
      <c r="T198" s="974">
        <f>+T166-'[2]Contingency'!S165</f>
        <v>0</v>
      </c>
      <c r="U198" s="974">
        <f>+U166-'[2]Contingency'!T165</f>
        <v>0</v>
      </c>
      <c r="V198" s="974">
        <f>+V166-'[2]Contingency'!U165</f>
        <v>0</v>
      </c>
      <c r="W198" s="975">
        <f>+W166-'[2]Contingency'!V165</f>
        <v>0</v>
      </c>
      <c r="X198" s="567" t="e">
        <f>+X166-'[2]Contingency'!W165</f>
        <v>#REF!</v>
      </c>
      <c r="Y198" s="974">
        <f>+Y166-'[2]Contingency'!X165</f>
        <v>0</v>
      </c>
      <c r="Z198" s="974">
        <f>+Z166-'[2]Contingency'!Y165</f>
        <v>0</v>
      </c>
      <c r="AA198" s="971">
        <f>+AA166-'[2]Contingency'!Z165</f>
        <v>0</v>
      </c>
      <c r="AB198" s="971">
        <f>+AB166-'[2]Contingency'!AA165</f>
        <v>0</v>
      </c>
      <c r="AC198" s="971"/>
      <c r="AD198" s="975">
        <f>+AD166-'[2]Contingency'!AB165</f>
        <v>0</v>
      </c>
      <c r="AE198" s="547">
        <f>+AE166-'[2]Contingency'!AC165</f>
        <v>0</v>
      </c>
      <c r="AF198" s="567"/>
      <c r="AG198" s="567"/>
      <c r="AH198" s="567"/>
      <c r="AI198" s="567"/>
      <c r="AJ198" s="567"/>
      <c r="AK198" s="567"/>
      <c r="AL198" s="976">
        <f>+AL166-'[2]Contingency'!AD165</f>
        <v>0</v>
      </c>
      <c r="AM198" s="977">
        <f>+AM166-'[2]Contingency'!AE165</f>
        <v>0</v>
      </c>
      <c r="AN198" s="977">
        <f>+AN166-'[2]Contingency'!AF165</f>
        <v>0</v>
      </c>
      <c r="AO198" s="567">
        <f>+AO166-'[2]Contingency'!AG165</f>
        <v>0</v>
      </c>
      <c r="AP198" s="974">
        <f>+AP166-'[2]Contingency'!AH165</f>
        <v>0</v>
      </c>
    </row>
    <row r="199" spans="1:42" ht="20.25">
      <c r="A199" s="972"/>
      <c r="B199" s="973" t="s">
        <v>616</v>
      </c>
      <c r="J199" s="974">
        <f>+J167-'[2]Contingency'!I166</f>
        <v>0</v>
      </c>
      <c r="K199" s="974">
        <f>+K167-'[2]Contingency'!J166</f>
        <v>0</v>
      </c>
      <c r="L199" s="975">
        <f>+L167-'[2]Contingency'!K166</f>
        <v>0</v>
      </c>
      <c r="M199" s="567">
        <f>+M167-'[2]Contingency'!L166</f>
        <v>0</v>
      </c>
      <c r="N199" s="974">
        <f>+N167-'[2]Contingency'!M166</f>
        <v>0</v>
      </c>
      <c r="O199" s="974">
        <f>+O167-'[2]Contingency'!N166</f>
        <v>0</v>
      </c>
      <c r="P199" s="974">
        <f>+P167-'[2]Contingency'!O166</f>
        <v>0</v>
      </c>
      <c r="Q199" s="975">
        <f>+Q167-'[2]Contingency'!P166</f>
        <v>0</v>
      </c>
      <c r="R199" s="567">
        <f>+R167-'[2]Contingency'!Q166</f>
        <v>0</v>
      </c>
      <c r="S199" s="974">
        <f>+S167-'[2]Contingency'!R166</f>
        <v>0</v>
      </c>
      <c r="T199" s="974">
        <f>+T167-'[2]Contingency'!S166</f>
        <v>0</v>
      </c>
      <c r="U199" s="974">
        <f>+U167-'[2]Contingency'!T166</f>
        <v>0</v>
      </c>
      <c r="V199" s="974">
        <f>+V167-'[2]Contingency'!U166</f>
        <v>0</v>
      </c>
      <c r="W199" s="975">
        <f>+W167-'[2]Contingency'!V166</f>
        <v>0</v>
      </c>
      <c r="X199" s="567">
        <f>+X167-'[2]Contingency'!W166</f>
        <v>0</v>
      </c>
      <c r="Y199" s="974">
        <f>+Y167-'[2]Contingency'!X166</f>
        <v>0</v>
      </c>
      <c r="Z199" s="974">
        <f>+Z167-'[2]Contingency'!Y166</f>
        <v>0</v>
      </c>
      <c r="AA199" s="971">
        <f>+AA167-'[2]Contingency'!Z166</f>
        <v>0</v>
      </c>
      <c r="AB199" s="971">
        <f>+AB167-'[2]Contingency'!AA166</f>
        <v>0</v>
      </c>
      <c r="AC199" s="971"/>
      <c r="AD199" s="975">
        <f>+AD167-'[2]Contingency'!AB166</f>
        <v>0</v>
      </c>
      <c r="AE199" s="547">
        <f>+AE167-'[2]Contingency'!AC166</f>
        <v>0</v>
      </c>
      <c r="AF199" s="567"/>
      <c r="AG199" s="567"/>
      <c r="AH199" s="567"/>
      <c r="AI199" s="567"/>
      <c r="AJ199" s="567"/>
      <c r="AK199" s="567"/>
      <c r="AL199" s="976">
        <f>+AL167-'[2]Contingency'!AD166</f>
        <v>0</v>
      </c>
      <c r="AM199" s="977">
        <f>+AM167-'[2]Contingency'!AE166</f>
        <v>0</v>
      </c>
      <c r="AN199" s="977">
        <f>+AN167-'[2]Contingency'!AF166</f>
        <v>0</v>
      </c>
      <c r="AO199" s="567">
        <f>+AO167-'[2]Contingency'!AG166</f>
        <v>0</v>
      </c>
      <c r="AP199" s="974">
        <f>+AP167-'[2]Contingency'!AH166</f>
        <v>0</v>
      </c>
    </row>
    <row r="200" spans="1:42" ht="20.25">
      <c r="A200" s="972"/>
      <c r="B200" s="973" t="s">
        <v>617</v>
      </c>
      <c r="J200" s="974">
        <f>+J168-'[2]Contingency'!I167</f>
        <v>0</v>
      </c>
      <c r="K200" s="974">
        <f>+K168-'[2]Contingency'!J167</f>
        <v>0</v>
      </c>
      <c r="L200" s="975">
        <f>+L168-'[2]Contingency'!K167</f>
        <v>0</v>
      </c>
      <c r="M200" s="567">
        <f>+M168-'[2]Contingency'!L167</f>
        <v>0</v>
      </c>
      <c r="N200" s="974">
        <f>+N168-'[2]Contingency'!M167</f>
        <v>0</v>
      </c>
      <c r="O200" s="974">
        <f>+O168-'[2]Contingency'!N167</f>
        <v>0</v>
      </c>
      <c r="P200" s="974">
        <f>+P168-'[2]Contingency'!O167</f>
        <v>0</v>
      </c>
      <c r="Q200" s="975">
        <f>+Q168-'[2]Contingency'!P167</f>
        <v>0</v>
      </c>
      <c r="R200" s="567">
        <f>+R168-'[2]Contingency'!Q167</f>
        <v>0</v>
      </c>
      <c r="S200" s="974">
        <f>+S168-'[2]Contingency'!R167</f>
        <v>0</v>
      </c>
      <c r="T200" s="974">
        <f>+T168-'[2]Contingency'!S167</f>
        <v>0</v>
      </c>
      <c r="U200" s="974">
        <f>+U168-'[2]Contingency'!T167</f>
        <v>0</v>
      </c>
      <c r="V200" s="974">
        <f>+V168-'[2]Contingency'!U167</f>
        <v>0</v>
      </c>
      <c r="W200" s="975">
        <f>+W168-'[2]Contingency'!V167</f>
        <v>0</v>
      </c>
      <c r="X200" s="567">
        <f>+X168-'[2]Contingency'!W167</f>
        <v>0</v>
      </c>
      <c r="Y200" s="974">
        <f>+Y168-'[2]Contingency'!X167</f>
        <v>0</v>
      </c>
      <c r="Z200" s="974">
        <f>+Z168-'[2]Contingency'!Y167</f>
        <v>0</v>
      </c>
      <c r="AA200" s="971">
        <f>+AA168-'[2]Contingency'!Z167</f>
        <v>0</v>
      </c>
      <c r="AB200" s="971">
        <f>+AB168-'[2]Contingency'!AA167</f>
        <v>0</v>
      </c>
      <c r="AC200" s="971"/>
      <c r="AD200" s="975">
        <f>+AD168-'[2]Contingency'!AB167</f>
        <v>0</v>
      </c>
      <c r="AE200" s="547">
        <f>+AE168-'[2]Contingency'!AC167</f>
        <v>0</v>
      </c>
      <c r="AF200" s="567"/>
      <c r="AG200" s="567"/>
      <c r="AH200" s="567"/>
      <c r="AI200" s="567"/>
      <c r="AJ200" s="567"/>
      <c r="AK200" s="567"/>
      <c r="AL200" s="976">
        <f>+AL168-'[2]Contingency'!AD167</f>
        <v>0</v>
      </c>
      <c r="AM200" s="977">
        <f>+AM168-'[2]Contingency'!AE167</f>
        <v>0</v>
      </c>
      <c r="AN200" s="977">
        <f>+AN168-'[2]Contingency'!AF167</f>
        <v>0</v>
      </c>
      <c r="AO200" s="567">
        <f>+AO168-'[2]Contingency'!AG167</f>
        <v>0</v>
      </c>
      <c r="AP200" s="974">
        <f>+AP168-'[2]Contingency'!AH167</f>
        <v>0</v>
      </c>
    </row>
    <row r="201" spans="1:42" ht="36">
      <c r="A201" s="972"/>
      <c r="B201" s="973" t="s">
        <v>618</v>
      </c>
      <c r="J201" s="974">
        <f>+J169-'[2]Contingency'!I168</f>
        <v>0</v>
      </c>
      <c r="K201" s="974">
        <f>+K169-'[2]Contingency'!J168</f>
        <v>0</v>
      </c>
      <c r="L201" s="975">
        <f>+L169-'[2]Contingency'!K168</f>
        <v>0</v>
      </c>
      <c r="M201" s="567">
        <f>+M169-'[2]Contingency'!L168</f>
        <v>0</v>
      </c>
      <c r="N201" s="974">
        <f>+N169-'[2]Contingency'!M168</f>
        <v>0</v>
      </c>
      <c r="O201" s="974">
        <f>+O169-'[2]Contingency'!N168</f>
        <v>0</v>
      </c>
      <c r="P201" s="974">
        <f>+P169-'[2]Contingency'!O168</f>
        <v>0</v>
      </c>
      <c r="Q201" s="975">
        <f>+Q169-'[2]Contingency'!P168</f>
        <v>0</v>
      </c>
      <c r="R201" s="567">
        <f>+R169-'[2]Contingency'!Q168</f>
        <v>0</v>
      </c>
      <c r="S201" s="974">
        <f>+S169-'[2]Contingency'!R168</f>
        <v>0</v>
      </c>
      <c r="T201" s="974">
        <f>+T169-'[2]Contingency'!S168</f>
        <v>0</v>
      </c>
      <c r="U201" s="974">
        <f>+U169-'[2]Contingency'!T168</f>
        <v>0</v>
      </c>
      <c r="V201" s="974">
        <f>+V169-'[2]Contingency'!U168</f>
        <v>0</v>
      </c>
      <c r="W201" s="975">
        <f>+W169-'[2]Contingency'!V168</f>
        <v>0</v>
      </c>
      <c r="X201" s="567">
        <f>+X169-'[2]Contingency'!W168</f>
        <v>0</v>
      </c>
      <c r="Y201" s="974">
        <f>+Y169-'[2]Contingency'!X168</f>
        <v>0</v>
      </c>
      <c r="Z201" s="974">
        <f>+Z169-'[2]Contingency'!Y168</f>
        <v>0</v>
      </c>
      <c r="AA201" s="971">
        <f>+AA169-'[2]Contingency'!Z168</f>
        <v>0</v>
      </c>
      <c r="AB201" s="971">
        <f>+AB169-'[2]Contingency'!AA168</f>
        <v>0</v>
      </c>
      <c r="AC201" s="971"/>
      <c r="AD201" s="975">
        <f>+AD169-'[2]Contingency'!AB168</f>
        <v>0</v>
      </c>
      <c r="AE201" s="547">
        <f>+AE169-'[2]Contingency'!AC168</f>
        <v>0</v>
      </c>
      <c r="AF201" s="567"/>
      <c r="AG201" s="567"/>
      <c r="AH201" s="567"/>
      <c r="AI201" s="567"/>
      <c r="AJ201" s="567"/>
      <c r="AK201" s="567"/>
      <c r="AL201" s="976">
        <f>+AL169-'[2]Contingency'!AD168</f>
        <v>0</v>
      </c>
      <c r="AM201" s="977">
        <f>+AM169-'[2]Contingency'!AE168</f>
        <v>0</v>
      </c>
      <c r="AN201" s="977">
        <f>+AN169-'[2]Contingency'!AF168</f>
        <v>0</v>
      </c>
      <c r="AO201" s="567">
        <f>+AO169-'[2]Contingency'!AG168</f>
        <v>0</v>
      </c>
      <c r="AP201" s="974">
        <f>+AP169-'[2]Contingency'!AH168</f>
        <v>0</v>
      </c>
    </row>
    <row r="202" spans="1:42" ht="20.25">
      <c r="A202" s="972"/>
      <c r="B202" s="973" t="s">
        <v>619</v>
      </c>
      <c r="J202" s="974">
        <f>+J170-'[2]Contingency'!I169</f>
        <v>0</v>
      </c>
      <c r="K202" s="974">
        <f>+K170-'[2]Contingency'!J169</f>
        <v>0</v>
      </c>
      <c r="L202" s="975">
        <f>+L170-'[2]Contingency'!K169</f>
        <v>0</v>
      </c>
      <c r="M202" s="567">
        <f>+M170-'[2]Contingency'!L169</f>
        <v>0</v>
      </c>
      <c r="N202" s="974">
        <f>+N170-'[2]Contingency'!M169</f>
        <v>0</v>
      </c>
      <c r="O202" s="974">
        <f>+O170-'[2]Contingency'!N169</f>
        <v>0</v>
      </c>
      <c r="P202" s="974">
        <f>+P170-'[2]Contingency'!O169</f>
        <v>0</v>
      </c>
      <c r="Q202" s="975">
        <f>+Q170-'[2]Contingency'!P169</f>
        <v>0</v>
      </c>
      <c r="R202" s="567">
        <f>+R170-'[2]Contingency'!Q169</f>
        <v>0</v>
      </c>
      <c r="S202" s="974">
        <f>+S170-'[2]Contingency'!R169</f>
        <v>0</v>
      </c>
      <c r="T202" s="974">
        <f>+T170-'[2]Contingency'!S169</f>
        <v>0</v>
      </c>
      <c r="U202" s="974">
        <f>+U170-'[2]Contingency'!T169</f>
        <v>0</v>
      </c>
      <c r="V202" s="974">
        <f>+V170-'[2]Contingency'!U169</f>
        <v>0</v>
      </c>
      <c r="W202" s="975">
        <f>+W170-'[2]Contingency'!V169</f>
        <v>0</v>
      </c>
      <c r="X202" s="567">
        <f>+X170-'[2]Contingency'!W169</f>
        <v>0</v>
      </c>
      <c r="Y202" s="974">
        <f>+Y170-'[2]Contingency'!X169</f>
        <v>0</v>
      </c>
      <c r="Z202" s="974">
        <f>+Z170-'[2]Contingency'!Y169</f>
        <v>0</v>
      </c>
      <c r="AA202" s="971">
        <f>+AA170-'[2]Contingency'!Z169</f>
        <v>0</v>
      </c>
      <c r="AB202" s="971">
        <f>+AB170-'[2]Contingency'!AA169</f>
        <v>0</v>
      </c>
      <c r="AC202" s="971"/>
      <c r="AD202" s="975">
        <f>+AD170-'[2]Contingency'!AB169</f>
        <v>0</v>
      </c>
      <c r="AE202" s="547">
        <f>+AE170-'[2]Contingency'!AC169</f>
        <v>0</v>
      </c>
      <c r="AF202" s="567"/>
      <c r="AG202" s="567"/>
      <c r="AH202" s="567"/>
      <c r="AI202" s="567"/>
      <c r="AJ202" s="567"/>
      <c r="AK202" s="567"/>
      <c r="AL202" s="976">
        <f>+AL170-'[2]Contingency'!AD169</f>
        <v>0</v>
      </c>
      <c r="AM202" s="977">
        <f>+AM170-'[2]Contingency'!AE169</f>
        <v>0</v>
      </c>
      <c r="AN202" s="977">
        <f>+AN170-'[2]Contingency'!AF169</f>
        <v>0</v>
      </c>
      <c r="AO202" s="567">
        <f>+AO170-'[2]Contingency'!AG169</f>
        <v>0</v>
      </c>
      <c r="AP202" s="974">
        <f>+AP170-'[2]Contingency'!AH169</f>
        <v>0</v>
      </c>
    </row>
    <row r="203" spans="1:42" ht="20.25">
      <c r="A203" s="972"/>
      <c r="B203" s="973" t="s">
        <v>620</v>
      </c>
      <c r="J203" s="974">
        <f>+J171-'[2]Contingency'!I170</f>
        <v>0</v>
      </c>
      <c r="K203" s="974">
        <f>+K171-'[2]Contingency'!J170</f>
        <v>0</v>
      </c>
      <c r="L203" s="975">
        <f>+L171-'[2]Contingency'!K170</f>
        <v>0</v>
      </c>
      <c r="M203" s="567" t="e">
        <f>+M171-'[2]Contingency'!L170</f>
        <v>#REF!</v>
      </c>
      <c r="N203" s="974">
        <f>+N171-'[2]Contingency'!M170</f>
        <v>0</v>
      </c>
      <c r="O203" s="974">
        <f>+O171-'[2]Contingency'!N170</f>
        <v>0</v>
      </c>
      <c r="P203" s="974">
        <f>+P171-'[2]Contingency'!O170</f>
        <v>0</v>
      </c>
      <c r="Q203" s="975">
        <f>+Q171-'[2]Contingency'!P170</f>
        <v>0</v>
      </c>
      <c r="R203" s="567">
        <f>+R171-'[2]Contingency'!Q170</f>
        <v>0</v>
      </c>
      <c r="S203" s="974">
        <f>+S171-'[2]Contingency'!R170</f>
        <v>0</v>
      </c>
      <c r="T203" s="974">
        <f>+T171-'[2]Contingency'!S170</f>
        <v>0</v>
      </c>
      <c r="U203" s="974">
        <f>+U171-'[2]Contingency'!T170</f>
        <v>0</v>
      </c>
      <c r="V203" s="974">
        <f>+V171-'[2]Contingency'!U170</f>
        <v>0</v>
      </c>
      <c r="W203" s="975">
        <f>+W171-'[2]Contingency'!V170</f>
        <v>0</v>
      </c>
      <c r="X203" s="567">
        <f>+X171-'[2]Contingency'!W170</f>
        <v>0</v>
      </c>
      <c r="Y203" s="974">
        <f>+Y171-'[2]Contingency'!X170</f>
        <v>0</v>
      </c>
      <c r="Z203" s="974">
        <f>+Z171-'[2]Contingency'!Y170</f>
        <v>0</v>
      </c>
      <c r="AA203" s="971">
        <f>+AA171-'[2]Contingency'!Z170</f>
        <v>0</v>
      </c>
      <c r="AB203" s="971">
        <f>+AB171-'[2]Contingency'!AA170</f>
        <v>0</v>
      </c>
      <c r="AC203" s="971"/>
      <c r="AD203" s="975">
        <f>+AD171-'[2]Contingency'!AB170</f>
        <v>0</v>
      </c>
      <c r="AE203" s="547">
        <f>+AE171-'[2]Contingency'!AC170</f>
        <v>0</v>
      </c>
      <c r="AF203" s="567"/>
      <c r="AG203" s="567"/>
      <c r="AH203" s="567"/>
      <c r="AI203" s="567"/>
      <c r="AJ203" s="567"/>
      <c r="AK203" s="567"/>
      <c r="AL203" s="976">
        <f>+AL171-'[2]Contingency'!AD170</f>
        <v>0</v>
      </c>
      <c r="AM203" s="977">
        <f>+AM171-'[2]Contingency'!AE170</f>
        <v>0</v>
      </c>
      <c r="AN203" s="977">
        <f>+AN171-'[2]Contingency'!AF170</f>
        <v>0</v>
      </c>
      <c r="AO203" s="567">
        <f>+AO171-'[2]Contingency'!AG170</f>
        <v>0</v>
      </c>
      <c r="AP203" s="974">
        <f>+AP171-'[2]Contingency'!AH170</f>
        <v>0</v>
      </c>
    </row>
    <row r="204" spans="1:42" ht="20.25">
      <c r="A204" s="979" t="s">
        <v>621</v>
      </c>
      <c r="B204" s="968"/>
      <c r="C204" s="969"/>
      <c r="D204" s="969"/>
      <c r="E204" s="969"/>
      <c r="F204" s="969"/>
      <c r="G204" s="969"/>
      <c r="H204" s="969"/>
      <c r="I204" s="969"/>
      <c r="J204" s="970">
        <f>+J172-'[2]Contingency'!I171</f>
        <v>0</v>
      </c>
      <c r="K204" s="970">
        <f>+K172-'[2]Contingency'!J171</f>
        <v>0</v>
      </c>
      <c r="L204" s="970">
        <f>+L172-'[2]Contingency'!K171</f>
        <v>0</v>
      </c>
      <c r="M204" s="567">
        <f>+M172-'[2]Contingency'!L171</f>
        <v>0</v>
      </c>
      <c r="N204" s="970">
        <f>+N172-'[2]Contingency'!M171</f>
        <v>0</v>
      </c>
      <c r="O204" s="970">
        <f>+O172-'[2]Contingency'!N171</f>
        <v>0</v>
      </c>
      <c r="P204" s="970">
        <f>+P172-'[2]Contingency'!O171</f>
        <v>0</v>
      </c>
      <c r="Q204" s="970">
        <f>+Q172-'[2]Contingency'!P171</f>
        <v>0</v>
      </c>
      <c r="R204" s="567">
        <f>+R172-'[2]Contingency'!Q171</f>
        <v>0</v>
      </c>
      <c r="S204" s="970">
        <f>+S172-'[2]Contingency'!R171</f>
        <v>0</v>
      </c>
      <c r="T204" s="970">
        <f>+T172-'[2]Contingency'!S171</f>
        <v>0</v>
      </c>
      <c r="U204" s="970">
        <f>+U172-'[2]Contingency'!T171</f>
        <v>0</v>
      </c>
      <c r="V204" s="970">
        <f>+V172-'[2]Contingency'!U171</f>
        <v>0</v>
      </c>
      <c r="W204" s="970">
        <f>+W172-'[2]Contingency'!V171</f>
        <v>0</v>
      </c>
      <c r="X204" s="567">
        <f>+X172-'[2]Contingency'!W171</f>
        <v>0</v>
      </c>
      <c r="Y204" s="970">
        <f>+Y172-'[2]Contingency'!X171</f>
        <v>0</v>
      </c>
      <c r="Z204" s="970">
        <f>+Z172-'[2]Contingency'!Y171</f>
        <v>0</v>
      </c>
      <c r="AA204" s="971">
        <f>+AA172-'[2]Contingency'!Z171</f>
        <v>0</v>
      </c>
      <c r="AB204" s="971">
        <f>+AB172-'[2]Contingency'!AA171</f>
        <v>0</v>
      </c>
      <c r="AC204" s="971"/>
      <c r="AD204" s="970">
        <f>+AD172-'[2]Contingency'!AB171</f>
        <v>0</v>
      </c>
      <c r="AE204" s="547">
        <f>+AE172-'[2]Contingency'!AC171</f>
        <v>0</v>
      </c>
      <c r="AF204" s="567"/>
      <c r="AG204" s="567"/>
      <c r="AH204" s="567"/>
      <c r="AI204" s="567"/>
      <c r="AJ204" s="567"/>
      <c r="AK204" s="567"/>
      <c r="AL204" s="970">
        <f>+AL172-'[2]Contingency'!AD171</f>
        <v>0</v>
      </c>
      <c r="AM204" s="970">
        <f>+AM172-'[2]Contingency'!AE171</f>
        <v>0</v>
      </c>
      <c r="AN204" s="970">
        <f>+AN172-'[2]Contingency'!AF171</f>
        <v>0</v>
      </c>
      <c r="AO204" s="567">
        <f>+AO172-'[2]Contingency'!AG171</f>
        <v>0</v>
      </c>
      <c r="AP204" s="970">
        <f>+AP172-'[2]Contingency'!AH171</f>
        <v>0</v>
      </c>
    </row>
    <row r="205" spans="1:42" ht="20.25">
      <c r="A205" s="972"/>
      <c r="B205" s="973" t="s">
        <v>622</v>
      </c>
      <c r="J205" s="974">
        <f>+J173-'[2]Contingency'!I172</f>
        <v>0</v>
      </c>
      <c r="K205" s="974">
        <f>+K173-'[2]Contingency'!J172</f>
        <v>0</v>
      </c>
      <c r="L205" s="975">
        <f>+L173-'[2]Contingency'!K172</f>
        <v>0</v>
      </c>
      <c r="M205" s="567">
        <f>+M173-'[2]Contingency'!L172</f>
        <v>0</v>
      </c>
      <c r="N205" s="974">
        <f>+N173-'[2]Contingency'!M172</f>
        <v>0</v>
      </c>
      <c r="O205" s="974">
        <f>+O173-'[2]Contingency'!N172</f>
        <v>0</v>
      </c>
      <c r="P205" s="974">
        <f>+P173-'[2]Contingency'!O172</f>
        <v>0</v>
      </c>
      <c r="Q205" s="975">
        <f>+Q173-'[2]Contingency'!P172</f>
        <v>0</v>
      </c>
      <c r="R205" s="567">
        <f>+R173-'[2]Contingency'!Q172</f>
        <v>0</v>
      </c>
      <c r="S205" s="974">
        <f>+S173-'[2]Contingency'!R172</f>
        <v>0</v>
      </c>
      <c r="T205" s="974">
        <f>+T173-'[2]Contingency'!S172</f>
        <v>0</v>
      </c>
      <c r="U205" s="974">
        <f>+U173-'[2]Contingency'!T172</f>
        <v>0</v>
      </c>
      <c r="V205" s="974">
        <f>+V173-'[2]Contingency'!U172</f>
        <v>0</v>
      </c>
      <c r="W205" s="975">
        <f>+W173-'[2]Contingency'!V172</f>
        <v>0</v>
      </c>
      <c r="X205" s="567" t="e">
        <f>+X173-'[2]Contingency'!W172</f>
        <v>#REF!</v>
      </c>
      <c r="Y205" s="974">
        <f>+Y173-'[2]Contingency'!X172</f>
        <v>0</v>
      </c>
      <c r="Z205" s="974">
        <f>+Z173-'[2]Contingency'!Y172</f>
        <v>0</v>
      </c>
      <c r="AA205" s="971">
        <f>+AA173-'[2]Contingency'!Z172</f>
        <v>0</v>
      </c>
      <c r="AB205" s="971">
        <f>+AB173-'[2]Contingency'!AA172</f>
        <v>0</v>
      </c>
      <c r="AC205" s="971"/>
      <c r="AD205" s="975">
        <f>+AD173-'[2]Contingency'!AB172</f>
        <v>0</v>
      </c>
      <c r="AE205" s="547">
        <f>+AE173-'[2]Contingency'!AC172</f>
        <v>0</v>
      </c>
      <c r="AF205" s="567"/>
      <c r="AG205" s="567"/>
      <c r="AH205" s="567"/>
      <c r="AI205" s="567"/>
      <c r="AJ205" s="567"/>
      <c r="AK205" s="567"/>
      <c r="AL205" s="976">
        <f>+AL173-'[2]Contingency'!AD172</f>
        <v>0</v>
      </c>
      <c r="AM205" s="977">
        <f>+AM173-'[2]Contingency'!AE172</f>
        <v>0</v>
      </c>
      <c r="AN205" s="977">
        <f>+AN173-'[2]Contingency'!AF172</f>
        <v>0</v>
      </c>
      <c r="AO205" s="567">
        <f>+AO173-'[2]Contingency'!AG172</f>
        <v>0</v>
      </c>
      <c r="AP205" s="974">
        <f>+AP173-'[2]Contingency'!AH172</f>
        <v>0</v>
      </c>
    </row>
    <row r="206" spans="1:42" ht="20.25">
      <c r="A206" s="972"/>
      <c r="B206" s="973" t="s">
        <v>623</v>
      </c>
      <c r="J206" s="974">
        <f>+J174-'[2]Contingency'!I173</f>
        <v>0</v>
      </c>
      <c r="K206" s="974">
        <f>+K174-'[2]Contingency'!J173</f>
        <v>0</v>
      </c>
      <c r="L206" s="975">
        <f>+L174-'[2]Contingency'!K173</f>
        <v>0</v>
      </c>
      <c r="M206" s="567">
        <f>+M174-'[2]Contingency'!L173</f>
        <v>0</v>
      </c>
      <c r="N206" s="974">
        <f>+N174-'[2]Contingency'!M173</f>
        <v>0</v>
      </c>
      <c r="O206" s="974">
        <f>+O174-'[2]Contingency'!N173</f>
        <v>0</v>
      </c>
      <c r="P206" s="974">
        <f>+P174-'[2]Contingency'!O173</f>
        <v>0</v>
      </c>
      <c r="Q206" s="975">
        <f>+Q174-'[2]Contingency'!P173</f>
        <v>0</v>
      </c>
      <c r="R206" s="567" t="e">
        <f>+R174-'[2]Contingency'!Q173</f>
        <v>#REF!</v>
      </c>
      <c r="S206" s="974">
        <f>+S174-'[2]Contingency'!R173</f>
        <v>0</v>
      </c>
      <c r="T206" s="974">
        <f>+T174-'[2]Contingency'!S173</f>
        <v>0</v>
      </c>
      <c r="U206" s="974">
        <f>+U174-'[2]Contingency'!T173</f>
        <v>0</v>
      </c>
      <c r="V206" s="974">
        <f>+V174-'[2]Contingency'!U173</f>
        <v>0</v>
      </c>
      <c r="W206" s="975">
        <f>+W174-'[2]Contingency'!V173</f>
        <v>0</v>
      </c>
      <c r="X206" s="567" t="e">
        <f>+X174-'[2]Contingency'!W173</f>
        <v>#REF!</v>
      </c>
      <c r="Y206" s="974">
        <f>+Y174-'[2]Contingency'!X173</f>
        <v>0</v>
      </c>
      <c r="Z206" s="974">
        <f>+Z174-'[2]Contingency'!Y173</f>
        <v>0</v>
      </c>
      <c r="AA206" s="971">
        <f>+AA174-'[2]Contingency'!Z173</f>
        <v>0</v>
      </c>
      <c r="AB206" s="971">
        <f>+AB174-'[2]Contingency'!AA173</f>
        <v>0</v>
      </c>
      <c r="AC206" s="971"/>
      <c r="AD206" s="975">
        <f>+AD174-'[2]Contingency'!AB173</f>
        <v>0</v>
      </c>
      <c r="AE206" s="547">
        <f>+AE174-'[2]Contingency'!AC173</f>
        <v>0</v>
      </c>
      <c r="AF206" s="567"/>
      <c r="AG206" s="567"/>
      <c r="AH206" s="567"/>
      <c r="AI206" s="567"/>
      <c r="AJ206" s="567"/>
      <c r="AK206" s="567"/>
      <c r="AL206" s="976">
        <f>+AL174-'[2]Contingency'!AD173</f>
        <v>0</v>
      </c>
      <c r="AM206" s="977">
        <f>+AM174-'[2]Contingency'!AE173</f>
        <v>0</v>
      </c>
      <c r="AN206" s="977">
        <f>+AN174-'[2]Contingency'!AF173</f>
        <v>0</v>
      </c>
      <c r="AO206" s="567">
        <f>+AO174-'[2]Contingency'!AG173</f>
        <v>0</v>
      </c>
      <c r="AP206" s="974">
        <f>+AP174-'[2]Contingency'!AH173</f>
        <v>0</v>
      </c>
    </row>
    <row r="207" spans="1:42" ht="20.25">
      <c r="A207" s="972"/>
      <c r="B207" s="973" t="s">
        <v>624</v>
      </c>
      <c r="J207" s="974">
        <f>+J175-'[2]Contingency'!I174</f>
        <v>0</v>
      </c>
      <c r="K207" s="974">
        <f>+K175-'[2]Contingency'!J174</f>
        <v>0</v>
      </c>
      <c r="L207" s="975">
        <f>+L175-'[2]Contingency'!K174</f>
        <v>0</v>
      </c>
      <c r="M207" s="567" t="e">
        <f>+M175-'[2]Contingency'!L174</f>
        <v>#REF!</v>
      </c>
      <c r="N207" s="974">
        <f>+N175-'[2]Contingency'!M174</f>
        <v>0</v>
      </c>
      <c r="O207" s="974">
        <f>+O175-'[2]Contingency'!N174</f>
        <v>0</v>
      </c>
      <c r="P207" s="974">
        <f>+P175-'[2]Contingency'!O174</f>
        <v>0</v>
      </c>
      <c r="Q207" s="975">
        <f>+Q175-'[2]Contingency'!P174</f>
        <v>0</v>
      </c>
      <c r="R207" s="567">
        <f>+R175-'[2]Contingency'!Q174</f>
        <v>0</v>
      </c>
      <c r="S207" s="974">
        <f>+S175-'[2]Contingency'!R174</f>
        <v>0</v>
      </c>
      <c r="T207" s="974">
        <f>+T175-'[2]Contingency'!S174</f>
        <v>0</v>
      </c>
      <c r="U207" s="974">
        <f>+U175-'[2]Contingency'!T174</f>
        <v>0</v>
      </c>
      <c r="V207" s="974">
        <f>+V175-'[2]Contingency'!U174</f>
        <v>0</v>
      </c>
      <c r="W207" s="975">
        <f>+W175-'[2]Contingency'!V174</f>
        <v>0</v>
      </c>
      <c r="X207" s="567" t="e">
        <f>+X175-'[2]Contingency'!W174</f>
        <v>#REF!</v>
      </c>
      <c r="Y207" s="974">
        <f>+Y175-'[2]Contingency'!X174</f>
        <v>0</v>
      </c>
      <c r="Z207" s="974">
        <f>+Z175-'[2]Contingency'!Y174</f>
        <v>0</v>
      </c>
      <c r="AA207" s="971">
        <f>+AA175-'[2]Contingency'!Z174</f>
        <v>0</v>
      </c>
      <c r="AB207" s="971">
        <f>+AB175-'[2]Contingency'!AA174</f>
        <v>0</v>
      </c>
      <c r="AC207" s="971"/>
      <c r="AD207" s="975">
        <f>+AD175-'[2]Contingency'!AB174</f>
        <v>0</v>
      </c>
      <c r="AE207" s="547">
        <f>+AE175-'[2]Contingency'!AC174</f>
        <v>0</v>
      </c>
      <c r="AF207" s="567"/>
      <c r="AG207" s="567"/>
      <c r="AH207" s="567"/>
      <c r="AI207" s="567"/>
      <c r="AJ207" s="567"/>
      <c r="AK207" s="567"/>
      <c r="AL207" s="976">
        <f>+AL175-'[2]Contingency'!AD174</f>
        <v>0</v>
      </c>
      <c r="AM207" s="977">
        <f>+AM175-'[2]Contingency'!AE174</f>
        <v>0</v>
      </c>
      <c r="AN207" s="977">
        <f>+AN175-'[2]Contingency'!AF174</f>
        <v>0</v>
      </c>
      <c r="AO207" s="567">
        <f>+AO175-'[2]Contingency'!AG174</f>
        <v>0</v>
      </c>
      <c r="AP207" s="974">
        <f>+AP175-'[2]Contingency'!AH174</f>
        <v>0</v>
      </c>
    </row>
    <row r="208" spans="1:42" ht="20.25">
      <c r="A208" s="972"/>
      <c r="B208" s="973" t="s">
        <v>625</v>
      </c>
      <c r="J208" s="974">
        <f>+J176-'[2]Contingency'!I175</f>
        <v>0</v>
      </c>
      <c r="K208" s="974">
        <f>+K176-'[2]Contingency'!J175</f>
        <v>0</v>
      </c>
      <c r="L208" s="975">
        <f>+L176-'[2]Contingency'!K175</f>
        <v>0</v>
      </c>
      <c r="M208" s="567">
        <f>+M176-'[2]Contingency'!L175</f>
        <v>0</v>
      </c>
      <c r="N208" s="974">
        <f>+N176-'[2]Contingency'!M175</f>
        <v>0</v>
      </c>
      <c r="O208" s="974">
        <f>+O176-'[2]Contingency'!N175</f>
        <v>0</v>
      </c>
      <c r="P208" s="974">
        <f>+P176-'[2]Contingency'!O175</f>
        <v>0</v>
      </c>
      <c r="Q208" s="975">
        <f>+Q176-'[2]Contingency'!P175</f>
        <v>0</v>
      </c>
      <c r="R208" s="567">
        <f>+R176-'[2]Contingency'!Q175</f>
        <v>0</v>
      </c>
      <c r="S208" s="974">
        <f>+S176-'[2]Contingency'!R175</f>
        <v>0</v>
      </c>
      <c r="T208" s="974">
        <f>+T176-'[2]Contingency'!S175</f>
        <v>0</v>
      </c>
      <c r="U208" s="974">
        <f>+U176-'[2]Contingency'!T175</f>
        <v>0</v>
      </c>
      <c r="V208" s="974">
        <f>+V176-'[2]Contingency'!U175</f>
        <v>0</v>
      </c>
      <c r="W208" s="975">
        <f>+W176-'[2]Contingency'!V175</f>
        <v>0</v>
      </c>
      <c r="X208" s="567">
        <f>+X176-'[2]Contingency'!W175</f>
        <v>0</v>
      </c>
      <c r="Y208" s="974">
        <f>+Y176-'[2]Contingency'!X175</f>
        <v>0</v>
      </c>
      <c r="Z208" s="974">
        <f>+Z176-'[2]Contingency'!Y175</f>
        <v>0</v>
      </c>
      <c r="AA208" s="971">
        <f>+AA176-'[2]Contingency'!Z175</f>
        <v>0</v>
      </c>
      <c r="AB208" s="971">
        <f>+AB176-'[2]Contingency'!AA175</f>
        <v>0</v>
      </c>
      <c r="AC208" s="971"/>
      <c r="AD208" s="975">
        <f>+AD176-'[2]Contingency'!AB175</f>
        <v>0</v>
      </c>
      <c r="AE208" s="547">
        <f>+AE176-'[2]Contingency'!AC175</f>
        <v>0</v>
      </c>
      <c r="AF208" s="567"/>
      <c r="AG208" s="567"/>
      <c r="AH208" s="567"/>
      <c r="AI208" s="567"/>
      <c r="AJ208" s="567"/>
      <c r="AK208" s="567"/>
      <c r="AL208" s="976">
        <f>+AL176-'[2]Contingency'!AD175</f>
        <v>0</v>
      </c>
      <c r="AM208" s="977">
        <f>+AM176-'[2]Contingency'!AE175</f>
        <v>0</v>
      </c>
      <c r="AN208" s="977">
        <f>+AN176-'[2]Contingency'!AF175</f>
        <v>0</v>
      </c>
      <c r="AO208" s="567">
        <f>+AO176-'[2]Contingency'!AG175</f>
        <v>0</v>
      </c>
      <c r="AP208" s="974">
        <f>+AP176-'[2]Contingency'!AH175</f>
        <v>0</v>
      </c>
    </row>
    <row r="209" spans="1:42" ht="20.25">
      <c r="A209" s="972"/>
      <c r="B209" s="973" t="s">
        <v>626</v>
      </c>
      <c r="J209" s="974">
        <f>+J177-'[2]Contingency'!I176</f>
        <v>0</v>
      </c>
      <c r="K209" s="974">
        <f>+K177-'[2]Contingency'!J176</f>
        <v>0</v>
      </c>
      <c r="L209" s="975">
        <f>+L177-'[2]Contingency'!K176</f>
        <v>0</v>
      </c>
      <c r="M209" s="567">
        <f>+M177-'[2]Contingency'!L176</f>
        <v>0</v>
      </c>
      <c r="N209" s="974">
        <f>+N177-'[2]Contingency'!M176</f>
        <v>0</v>
      </c>
      <c r="O209" s="974">
        <f>+O177-'[2]Contingency'!N176</f>
        <v>0</v>
      </c>
      <c r="P209" s="974">
        <f>+P177-'[2]Contingency'!O176</f>
        <v>0</v>
      </c>
      <c r="Q209" s="975">
        <f>+Q177-'[2]Contingency'!P176</f>
        <v>0</v>
      </c>
      <c r="R209" s="567">
        <f>+R177-'[2]Contingency'!Q176</f>
        <v>0</v>
      </c>
      <c r="S209" s="974">
        <f>+S177-'[2]Contingency'!R176</f>
        <v>0</v>
      </c>
      <c r="T209" s="974">
        <f>+T177-'[2]Contingency'!S176</f>
        <v>0</v>
      </c>
      <c r="U209" s="974">
        <f>+U177-'[2]Contingency'!T176</f>
        <v>0</v>
      </c>
      <c r="V209" s="974">
        <f>+V177-'[2]Contingency'!U176</f>
        <v>0</v>
      </c>
      <c r="W209" s="975">
        <f>+W177-'[2]Contingency'!V176</f>
        <v>0</v>
      </c>
      <c r="X209" s="567">
        <f>+X177-'[2]Contingency'!W176</f>
        <v>0</v>
      </c>
      <c r="Y209" s="974">
        <f>+Y177-'[2]Contingency'!X176</f>
        <v>0</v>
      </c>
      <c r="Z209" s="974">
        <f>+Z177-'[2]Contingency'!Y176</f>
        <v>0</v>
      </c>
      <c r="AA209" s="971">
        <f>+AA177-'[2]Contingency'!Z176</f>
        <v>0</v>
      </c>
      <c r="AB209" s="971">
        <f>+AB177-'[2]Contingency'!AA176</f>
        <v>0</v>
      </c>
      <c r="AC209" s="971"/>
      <c r="AD209" s="975">
        <f>+AD177-'[2]Contingency'!AB176</f>
        <v>0</v>
      </c>
      <c r="AE209" s="547">
        <f>+AE177-'[2]Contingency'!AC176</f>
        <v>0</v>
      </c>
      <c r="AF209" s="567"/>
      <c r="AG209" s="567"/>
      <c r="AH209" s="567"/>
      <c r="AI209" s="567"/>
      <c r="AJ209" s="567"/>
      <c r="AK209" s="567"/>
      <c r="AL209" s="976">
        <f>+AL177-'[2]Contingency'!AD176</f>
        <v>0</v>
      </c>
      <c r="AM209" s="977">
        <f>+AM177-'[2]Contingency'!AE176</f>
        <v>0</v>
      </c>
      <c r="AN209" s="977">
        <f>+AN177-'[2]Contingency'!AF176</f>
        <v>0</v>
      </c>
      <c r="AO209" s="567">
        <f>+AO177-'[2]Contingency'!AG176</f>
        <v>0</v>
      </c>
      <c r="AP209" s="974">
        <f>+AP177-'[2]Contingency'!AH176</f>
        <v>0</v>
      </c>
    </row>
    <row r="210" spans="1:42" ht="20.25">
      <c r="A210" s="972"/>
      <c r="B210" s="973" t="s">
        <v>627</v>
      </c>
      <c r="J210" s="974">
        <f>+J178-'[2]Contingency'!I177</f>
        <v>0</v>
      </c>
      <c r="K210" s="974">
        <f>+K178-'[2]Contingency'!J177</f>
        <v>0</v>
      </c>
      <c r="L210" s="975">
        <f>+L178-'[2]Contingency'!K177</f>
        <v>0</v>
      </c>
      <c r="M210" s="567" t="e">
        <f>+M178-'[2]Contingency'!L177</f>
        <v>#REF!</v>
      </c>
      <c r="N210" s="974">
        <f>+N178-'[2]Contingency'!M177</f>
        <v>0</v>
      </c>
      <c r="O210" s="974">
        <f>+O178-'[2]Contingency'!N177</f>
        <v>0</v>
      </c>
      <c r="P210" s="974">
        <f>+P178-'[2]Contingency'!O177</f>
        <v>0</v>
      </c>
      <c r="Q210" s="975">
        <f>+Q178-'[2]Contingency'!P177</f>
        <v>0</v>
      </c>
      <c r="R210" s="567">
        <f>+R178-'[2]Contingency'!Q177</f>
        <v>0</v>
      </c>
      <c r="S210" s="974">
        <f>+S178-'[2]Contingency'!R177</f>
        <v>0</v>
      </c>
      <c r="T210" s="974">
        <f>+T178-'[2]Contingency'!S177</f>
        <v>0</v>
      </c>
      <c r="U210" s="974">
        <f>+U178-'[2]Contingency'!T177</f>
        <v>0</v>
      </c>
      <c r="V210" s="974">
        <f>+V178-'[2]Contingency'!U177</f>
        <v>0</v>
      </c>
      <c r="W210" s="975">
        <f>+W178-'[2]Contingency'!V177</f>
        <v>0</v>
      </c>
      <c r="X210" s="567">
        <f>+X178-'[2]Contingency'!W177</f>
        <v>0</v>
      </c>
      <c r="Y210" s="974">
        <f>+Y178-'[2]Contingency'!X177</f>
        <v>0</v>
      </c>
      <c r="Z210" s="974">
        <f>+Z178-'[2]Contingency'!Y177</f>
        <v>0</v>
      </c>
      <c r="AA210" s="971">
        <f>+AA178-'[2]Contingency'!Z177</f>
        <v>0</v>
      </c>
      <c r="AB210" s="971">
        <f>+AB178-'[2]Contingency'!AA177</f>
        <v>0</v>
      </c>
      <c r="AC210" s="971"/>
      <c r="AD210" s="975">
        <f>+AD178-'[2]Contingency'!AB177</f>
        <v>0</v>
      </c>
      <c r="AE210" s="547">
        <f>+AE178-'[2]Contingency'!AC177</f>
        <v>0</v>
      </c>
      <c r="AF210" s="567"/>
      <c r="AG210" s="567"/>
      <c r="AH210" s="567"/>
      <c r="AI210" s="567"/>
      <c r="AJ210" s="567"/>
      <c r="AK210" s="567"/>
      <c r="AL210" s="976">
        <f>+AL178-'[2]Contingency'!AD177</f>
        <v>0</v>
      </c>
      <c r="AM210" s="977">
        <f>+AM178-'[2]Contingency'!AE177</f>
        <v>0</v>
      </c>
      <c r="AN210" s="977">
        <f>+AN178-'[2]Contingency'!AF177</f>
        <v>0</v>
      </c>
      <c r="AO210" s="567">
        <f>+AO178-'[2]Contingency'!AG177</f>
        <v>0</v>
      </c>
      <c r="AP210" s="974">
        <f>+AP178-'[2]Contingency'!AH177</f>
        <v>0</v>
      </c>
    </row>
    <row r="211" spans="1:42" ht="20.25">
      <c r="A211" s="972"/>
      <c r="B211" s="973" t="s">
        <v>628</v>
      </c>
      <c r="J211" s="974">
        <f>+J179-'[2]Contingency'!I178</f>
        <v>0</v>
      </c>
      <c r="K211" s="974">
        <f>+K179-'[2]Contingency'!J178</f>
        <v>0</v>
      </c>
      <c r="L211" s="975">
        <f>+L179-'[2]Contingency'!K178</f>
        <v>0</v>
      </c>
      <c r="M211" s="567" t="e">
        <f>+M179-'[2]Contingency'!L178</f>
        <v>#REF!</v>
      </c>
      <c r="N211" s="974">
        <f>+N179-'[2]Contingency'!M178</f>
        <v>0</v>
      </c>
      <c r="O211" s="974">
        <f>+O179-'[2]Contingency'!N178</f>
        <v>0</v>
      </c>
      <c r="P211" s="974">
        <f>+P179-'[2]Contingency'!O178</f>
        <v>0</v>
      </c>
      <c r="Q211" s="975">
        <f>+Q179-'[2]Contingency'!P178</f>
        <v>0</v>
      </c>
      <c r="R211" s="567">
        <f>+R179-'[2]Contingency'!Q178</f>
        <v>0</v>
      </c>
      <c r="S211" s="974">
        <f>+S179-'[2]Contingency'!R178</f>
        <v>0</v>
      </c>
      <c r="T211" s="974">
        <f>+T179-'[2]Contingency'!S178</f>
        <v>0</v>
      </c>
      <c r="U211" s="974">
        <f>+U179-'[2]Contingency'!T178</f>
        <v>0</v>
      </c>
      <c r="V211" s="974">
        <f>+V179-'[2]Contingency'!U178</f>
        <v>0</v>
      </c>
      <c r="W211" s="975">
        <f>+W179-'[2]Contingency'!V178</f>
        <v>0</v>
      </c>
      <c r="X211" s="567" t="e">
        <f>+X179-'[2]Contingency'!W178</f>
        <v>#REF!</v>
      </c>
      <c r="Y211" s="974">
        <f>+Y179-'[2]Contingency'!X178</f>
        <v>0</v>
      </c>
      <c r="Z211" s="974">
        <f>+Z179-'[2]Contingency'!Y178</f>
        <v>0</v>
      </c>
      <c r="AA211" s="971">
        <f>+AA179-'[2]Contingency'!Z178</f>
        <v>0</v>
      </c>
      <c r="AB211" s="971">
        <f>+AB179-'[2]Contingency'!AA178</f>
        <v>0</v>
      </c>
      <c r="AC211" s="971"/>
      <c r="AD211" s="975">
        <f>+AD179-'[2]Contingency'!AB178</f>
        <v>0</v>
      </c>
      <c r="AE211" s="547">
        <f>+AE179-'[2]Contingency'!AC178</f>
        <v>0</v>
      </c>
      <c r="AF211" s="567"/>
      <c r="AG211" s="567"/>
      <c r="AH211" s="567"/>
      <c r="AI211" s="567"/>
      <c r="AJ211" s="567"/>
      <c r="AK211" s="567"/>
      <c r="AL211" s="976">
        <f>+AL179-'[2]Contingency'!AD178</f>
        <v>0</v>
      </c>
      <c r="AM211" s="977">
        <f>+AM179-'[2]Contingency'!AE178</f>
        <v>0</v>
      </c>
      <c r="AN211" s="977">
        <f>+AN179-'[2]Contingency'!AF178</f>
        <v>0</v>
      </c>
      <c r="AO211" s="567">
        <f>+AO179-'[2]Contingency'!AG178</f>
        <v>0</v>
      </c>
      <c r="AP211" s="974">
        <f>+AP179-'[2]Contingency'!AH178</f>
        <v>0</v>
      </c>
    </row>
    <row r="212" spans="1:42" ht="20.25">
      <c r="A212" s="972"/>
      <c r="B212" s="973" t="s">
        <v>629</v>
      </c>
      <c r="J212" s="974">
        <f>+J180-'[2]Contingency'!I179</f>
        <v>0</v>
      </c>
      <c r="K212" s="974">
        <f>+K180-'[2]Contingency'!J179</f>
        <v>0</v>
      </c>
      <c r="L212" s="975">
        <f>+L180-'[2]Contingency'!K179</f>
        <v>0</v>
      </c>
      <c r="M212" s="567">
        <f>+M180-'[2]Contingency'!L179</f>
        <v>0</v>
      </c>
      <c r="N212" s="974">
        <f>+N180-'[2]Contingency'!M179</f>
        <v>0</v>
      </c>
      <c r="O212" s="974">
        <f>+O180-'[2]Contingency'!N179</f>
        <v>0</v>
      </c>
      <c r="P212" s="974">
        <f>+P180-'[2]Contingency'!O179</f>
        <v>0</v>
      </c>
      <c r="Q212" s="975">
        <f>+Q180-'[2]Contingency'!P179</f>
        <v>0</v>
      </c>
      <c r="R212" s="567">
        <f>+R180-'[2]Contingency'!Q179</f>
        <v>0</v>
      </c>
      <c r="S212" s="974">
        <f>+S180-'[2]Contingency'!R179</f>
        <v>0</v>
      </c>
      <c r="T212" s="974">
        <f>+T180-'[2]Contingency'!S179</f>
        <v>0</v>
      </c>
      <c r="U212" s="974">
        <f>+U180-'[2]Contingency'!T179</f>
        <v>0</v>
      </c>
      <c r="V212" s="974">
        <f>+V180-'[2]Contingency'!U179</f>
        <v>0</v>
      </c>
      <c r="W212" s="975">
        <f>+W180-'[2]Contingency'!V179</f>
        <v>0</v>
      </c>
      <c r="X212" s="567">
        <f>+X180-'[2]Contingency'!W179</f>
        <v>0</v>
      </c>
      <c r="Y212" s="974">
        <f>+Y180-'[2]Contingency'!X179</f>
        <v>0</v>
      </c>
      <c r="Z212" s="974">
        <f>+Z180-'[2]Contingency'!Y179</f>
        <v>0</v>
      </c>
      <c r="AA212" s="971">
        <f>+AA180-'[2]Contingency'!Z179</f>
        <v>0</v>
      </c>
      <c r="AB212" s="971">
        <f>+AB180-'[2]Contingency'!AA179</f>
        <v>0</v>
      </c>
      <c r="AC212" s="971"/>
      <c r="AD212" s="975">
        <f>+AD180-'[2]Contingency'!AB179</f>
        <v>0</v>
      </c>
      <c r="AE212" s="547">
        <f>+AE180-'[2]Contingency'!AC179</f>
        <v>0</v>
      </c>
      <c r="AF212" s="567"/>
      <c r="AG212" s="567"/>
      <c r="AH212" s="567"/>
      <c r="AI212" s="567"/>
      <c r="AJ212" s="567"/>
      <c r="AK212" s="567"/>
      <c r="AL212" s="976">
        <f>+AL180-'[2]Contingency'!AD179</f>
        <v>0</v>
      </c>
      <c r="AM212" s="977">
        <f>+AM180-'[2]Contingency'!AE179</f>
        <v>0</v>
      </c>
      <c r="AN212" s="977">
        <f>+AN180-'[2]Contingency'!AF179</f>
        <v>0</v>
      </c>
      <c r="AO212" s="567">
        <f>+AO180-'[2]Contingency'!AG179</f>
        <v>0</v>
      </c>
      <c r="AP212" s="974">
        <f>+AP180-'[2]Contingency'!AH179</f>
        <v>0</v>
      </c>
    </row>
    <row r="213" spans="1:42" ht="20.25">
      <c r="A213" s="980" t="s">
        <v>630</v>
      </c>
      <c r="B213" s="981"/>
      <c r="C213" s="969"/>
      <c r="D213" s="969"/>
      <c r="E213" s="969"/>
      <c r="F213" s="969"/>
      <c r="G213" s="969"/>
      <c r="H213" s="969"/>
      <c r="I213" s="969"/>
      <c r="J213" s="982">
        <f>+J181-'[2]Contingency'!I180</f>
        <v>0</v>
      </c>
      <c r="K213" s="982">
        <f>+K181-'[2]Contingency'!J180</f>
        <v>0</v>
      </c>
      <c r="L213" s="982">
        <f>+L181-'[2]Contingency'!K180</f>
        <v>0</v>
      </c>
      <c r="M213" s="567">
        <f>+M181-'[2]Contingency'!L180</f>
        <v>0</v>
      </c>
      <c r="N213" s="982">
        <f>+N181-'[2]Contingency'!M180</f>
        <v>0</v>
      </c>
      <c r="O213" s="982">
        <f>+O181-'[2]Contingency'!N180</f>
        <v>0</v>
      </c>
      <c r="P213" s="982">
        <f>+P181-'[2]Contingency'!O180</f>
        <v>0</v>
      </c>
      <c r="Q213" s="982">
        <f>+Q181-'[2]Contingency'!P180</f>
        <v>0</v>
      </c>
      <c r="R213" s="567">
        <f>+R181-'[2]Contingency'!Q180</f>
        <v>0</v>
      </c>
      <c r="S213" s="982">
        <f>+S181-'[2]Contingency'!R180</f>
        <v>0</v>
      </c>
      <c r="T213" s="982">
        <f>+T181-'[2]Contingency'!S180</f>
        <v>0</v>
      </c>
      <c r="U213" s="982">
        <f>+U181-'[2]Contingency'!T180</f>
        <v>0</v>
      </c>
      <c r="V213" s="982">
        <f>+V181-'[2]Contingency'!U180</f>
        <v>0</v>
      </c>
      <c r="W213" s="982">
        <f>+W181-'[2]Contingency'!V180</f>
        <v>0</v>
      </c>
      <c r="X213" s="567">
        <f>+X181-'[2]Contingency'!W180</f>
        <v>0</v>
      </c>
      <c r="Y213" s="982">
        <f>+Y181-'[2]Contingency'!X180</f>
        <v>0</v>
      </c>
      <c r="Z213" s="982">
        <f>+Z181-'[2]Contingency'!Y180</f>
        <v>0</v>
      </c>
      <c r="AA213" s="971">
        <f>+AA181-'[2]Contingency'!Z180</f>
        <v>0</v>
      </c>
      <c r="AB213" s="971">
        <f>+AB181-'[2]Contingency'!AA180</f>
        <v>0</v>
      </c>
      <c r="AC213" s="971"/>
      <c r="AD213" s="982">
        <f>+AD181-'[2]Contingency'!AB180</f>
        <v>0</v>
      </c>
      <c r="AE213" s="547">
        <f>+AE181-'[2]Contingency'!AC180</f>
        <v>0</v>
      </c>
      <c r="AF213" s="567"/>
      <c r="AG213" s="567"/>
      <c r="AH213" s="567"/>
      <c r="AI213" s="567"/>
      <c r="AJ213" s="567"/>
      <c r="AK213" s="567"/>
      <c r="AL213" s="982">
        <f>+AL181-'[2]Contingency'!AD180</f>
        <v>0</v>
      </c>
      <c r="AM213" s="982">
        <f>+AM181-'[2]Contingency'!AE180</f>
        <v>0</v>
      </c>
      <c r="AN213" s="982">
        <f>+AN181-'[2]Contingency'!AF180</f>
        <v>0</v>
      </c>
      <c r="AO213" s="567">
        <f>+AO181-'[2]Contingency'!AG180</f>
        <v>0</v>
      </c>
      <c r="AP213" s="982">
        <f>+AP181-'[2]Contingency'!AH180</f>
        <v>0</v>
      </c>
    </row>
  </sheetData>
  <printOptions gridLines="1" horizontalCentered="1" verticalCentered="1"/>
  <pageMargins left="0.2" right="0.27" top="0.34" bottom="0.34" header="0.28" footer="0.17"/>
  <pageSetup fitToHeight="2" fitToWidth="1" horizontalDpi="600" verticalDpi="600" orientation="portrait" scale="6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BM213"/>
  <sheetViews>
    <sheetView zoomScale="50" zoomScaleNormal="50" workbookViewId="0" topLeftCell="A1">
      <selection activeCell="A1" sqref="A1:IV16384"/>
    </sheetView>
  </sheetViews>
  <sheetFormatPr defaultColWidth="9.140625" defaultRowHeight="12.75"/>
  <cols>
    <col min="1" max="1" width="7.00390625" style="546" customWidth="1"/>
    <col min="2" max="2" width="55.421875" style="546" customWidth="1"/>
    <col min="3" max="3" width="5.7109375" style="546" hidden="1" customWidth="1"/>
    <col min="4" max="5" width="11.57421875" style="546" hidden="1" customWidth="1"/>
    <col min="6" max="7" width="11.57421875" style="546" customWidth="1"/>
    <col min="8" max="8" width="17.00390625" style="546" hidden="1" customWidth="1"/>
    <col min="9" max="9" width="10.421875" style="546" hidden="1" customWidth="1"/>
    <col min="10" max="10" width="17.421875" style="546" hidden="1" customWidth="1"/>
    <col min="11" max="11" width="8.421875" style="546" hidden="1" customWidth="1"/>
    <col min="12" max="12" width="12.00390625" style="546" hidden="1" customWidth="1"/>
    <col min="13" max="13" width="8.421875" style="546" hidden="1" customWidth="1"/>
    <col min="14" max="14" width="11.00390625" style="546" hidden="1" customWidth="1"/>
    <col min="15" max="15" width="10.28125" style="546" hidden="1" customWidth="1"/>
    <col min="16" max="16" width="12.421875" style="546" hidden="1" customWidth="1"/>
    <col min="17" max="17" width="11.421875" style="546" hidden="1" customWidth="1"/>
    <col min="18" max="18" width="8.421875" style="546" hidden="1" customWidth="1"/>
    <col min="19" max="19" width="11.140625" style="546" hidden="1" customWidth="1"/>
    <col min="20" max="24" width="8.421875" style="546" hidden="1" customWidth="1"/>
    <col min="25" max="25" width="10.7109375" style="546" hidden="1" customWidth="1"/>
    <col min="26" max="26" width="8.421875" style="546" hidden="1" customWidth="1"/>
    <col min="27" max="27" width="14.421875" style="920" bestFit="1" customWidth="1"/>
    <col min="28" max="29" width="11.8515625" style="920" customWidth="1"/>
    <col min="30" max="30" width="21.421875" style="565" customWidth="1"/>
    <col min="31" max="31" width="22.140625" style="605" customWidth="1"/>
    <col min="32" max="33" width="19.28125" style="565" customWidth="1"/>
    <col min="34" max="34" width="19.28125" style="567" customWidth="1"/>
    <col min="35" max="39" width="22.140625" style="565" hidden="1" customWidth="1"/>
    <col min="40" max="40" width="15.8515625" style="565" hidden="1" customWidth="1"/>
    <col min="41" max="41" width="14.28125" style="565" hidden="1" customWidth="1"/>
    <col min="42" max="42" width="12.00390625" style="958" hidden="1" customWidth="1"/>
    <col min="43" max="43" width="13.57421875" style="546" hidden="1" customWidth="1"/>
    <col min="44" max="44" width="16.140625" style="546" customWidth="1"/>
    <col min="45" max="45" width="5.7109375" style="546" customWidth="1"/>
    <col min="46" max="46" width="40.140625" style="546" customWidth="1"/>
    <col min="47" max="47" width="17.28125" style="546" customWidth="1"/>
    <col min="48" max="48" width="14.7109375" style="546" customWidth="1"/>
    <col min="49" max="49" width="18.7109375" style="546" customWidth="1"/>
    <col min="50" max="50" width="13.00390625" style="546" bestFit="1" customWidth="1"/>
    <col min="51" max="51" width="13.140625" style="546" customWidth="1"/>
    <col min="52" max="52" width="14.140625" style="546" customWidth="1"/>
    <col min="53" max="53" width="27.7109375" style="546" bestFit="1" customWidth="1"/>
    <col min="54" max="55" width="9.28125" style="546" customWidth="1"/>
    <col min="56" max="56" width="5.28125" style="546" bestFit="1" customWidth="1"/>
    <col min="57" max="57" width="59.57421875" style="546" bestFit="1" customWidth="1"/>
    <col min="58" max="58" width="13.00390625" style="546" bestFit="1" customWidth="1"/>
    <col min="59" max="63" width="17.28125" style="546" customWidth="1"/>
    <col min="64" max="16384" width="9.28125" style="546" customWidth="1"/>
  </cols>
  <sheetData>
    <row r="1" spans="3:46" s="565" customFormat="1" ht="21" thickBot="1">
      <c r="C1" s="778"/>
      <c r="D1" s="778"/>
      <c r="E1" s="778"/>
      <c r="F1" s="778"/>
      <c r="G1" s="778"/>
      <c r="H1" s="778"/>
      <c r="I1" s="778" t="s">
        <v>252</v>
      </c>
      <c r="J1" s="779" t="s">
        <v>92</v>
      </c>
      <c r="K1" s="560"/>
      <c r="L1" s="560"/>
      <c r="M1" s="780"/>
      <c r="N1" s="780"/>
      <c r="O1" s="779" t="s">
        <v>93</v>
      </c>
      <c r="P1" s="560"/>
      <c r="Q1" s="560"/>
      <c r="R1" s="781"/>
      <c r="S1" s="782"/>
      <c r="T1" s="783"/>
      <c r="U1" s="784" t="s">
        <v>94</v>
      </c>
      <c r="V1" s="784"/>
      <c r="W1" s="784"/>
      <c r="X1" s="785"/>
      <c r="Y1" s="786"/>
      <c r="Z1" s="787"/>
      <c r="AA1" s="986" t="s">
        <v>16</v>
      </c>
      <c r="AB1" s="548" t="s">
        <v>650</v>
      </c>
      <c r="AC1" s="548" t="s">
        <v>651</v>
      </c>
      <c r="AD1" s="548" t="s">
        <v>20</v>
      </c>
      <c r="AE1" s="987" t="s">
        <v>653</v>
      </c>
      <c r="AF1" s="548" t="s">
        <v>21</v>
      </c>
      <c r="AG1" s="548" t="s">
        <v>654</v>
      </c>
      <c r="AH1" s="988" t="s">
        <v>207</v>
      </c>
      <c r="AI1" s="548" t="s">
        <v>207</v>
      </c>
      <c r="AJ1" s="549" t="s">
        <v>655</v>
      </c>
      <c r="AK1" s="548" t="s">
        <v>656</v>
      </c>
      <c r="AL1" s="548" t="s">
        <v>15</v>
      </c>
      <c r="AM1" s="560" t="s">
        <v>207</v>
      </c>
      <c r="AN1" s="560"/>
      <c r="AO1" s="792"/>
      <c r="AP1" s="793"/>
      <c r="AQ1" s="778"/>
      <c r="AR1" s="778"/>
      <c r="AS1" s="597"/>
      <c r="AT1" s="597"/>
    </row>
    <row r="2" spans="1:53" s="565" customFormat="1" ht="20.25">
      <c r="A2" s="778"/>
      <c r="B2" s="778"/>
      <c r="C2" s="778"/>
      <c r="D2" s="778"/>
      <c r="E2" s="778"/>
      <c r="F2" s="778"/>
      <c r="G2" s="778"/>
      <c r="H2" s="778"/>
      <c r="I2" s="778"/>
      <c r="J2" s="794"/>
      <c r="K2" s="795"/>
      <c r="L2" s="795"/>
      <c r="M2" s="787"/>
      <c r="N2" s="787"/>
      <c r="O2" s="794"/>
      <c r="P2" s="795"/>
      <c r="Q2" s="795"/>
      <c r="R2" s="785"/>
      <c r="S2" s="786"/>
      <c r="T2" s="796"/>
      <c r="U2" s="784"/>
      <c r="V2" s="784"/>
      <c r="W2" s="784"/>
      <c r="X2" s="785"/>
      <c r="Y2" s="786"/>
      <c r="Z2" s="787"/>
      <c r="AA2" s="986" t="s">
        <v>660</v>
      </c>
      <c r="AB2" s="549"/>
      <c r="AC2" s="550"/>
      <c r="AD2" s="989" t="s">
        <v>652</v>
      </c>
      <c r="AE2" s="550"/>
      <c r="AF2" s="550" t="s">
        <v>657</v>
      </c>
      <c r="AG2" s="550" t="s">
        <v>658</v>
      </c>
      <c r="AH2" s="990" t="s">
        <v>700</v>
      </c>
      <c r="AI2" s="550"/>
      <c r="AJ2" s="551" t="s">
        <v>658</v>
      </c>
      <c r="AK2" s="550"/>
      <c r="AL2" s="550"/>
      <c r="AM2" s="800"/>
      <c r="AN2" s="800"/>
      <c r="AO2" s="801"/>
      <c r="AP2" s="793"/>
      <c r="AQ2" s="778"/>
      <c r="AR2" s="778"/>
      <c r="AS2" s="597"/>
      <c r="AT2" s="597"/>
      <c r="AU2" s="802" t="s">
        <v>662</v>
      </c>
      <c r="AV2" s="802" t="s">
        <v>651</v>
      </c>
      <c r="AW2" s="802" t="s">
        <v>652</v>
      </c>
      <c r="AX2" s="802" t="s">
        <v>21</v>
      </c>
      <c r="AY2" s="802" t="s">
        <v>681</v>
      </c>
      <c r="AZ2" s="802" t="s">
        <v>658</v>
      </c>
      <c r="BA2" s="802" t="s">
        <v>682</v>
      </c>
    </row>
    <row r="3" spans="1:53" s="597" customFormat="1" ht="93" thickBot="1">
      <c r="A3" s="778" t="s">
        <v>211</v>
      </c>
      <c r="B3" s="778" t="s">
        <v>327</v>
      </c>
      <c r="C3" s="805"/>
      <c r="D3" s="805"/>
      <c r="E3" s="805"/>
      <c r="F3" s="805"/>
      <c r="G3" s="805"/>
      <c r="H3" s="805"/>
      <c r="I3" s="804"/>
      <c r="J3" s="807" t="s">
        <v>597</v>
      </c>
      <c r="K3" s="808" t="s">
        <v>250</v>
      </c>
      <c r="L3" s="808" t="s">
        <v>251</v>
      </c>
      <c r="M3" s="809" t="s">
        <v>328</v>
      </c>
      <c r="N3" s="810" t="s">
        <v>344</v>
      </c>
      <c r="O3" s="811" t="s">
        <v>461</v>
      </c>
      <c r="P3" s="808" t="s">
        <v>250</v>
      </c>
      <c r="Q3" s="808" t="s">
        <v>251</v>
      </c>
      <c r="R3" s="809" t="s">
        <v>328</v>
      </c>
      <c r="S3" s="810" t="s">
        <v>344</v>
      </c>
      <c r="T3" s="812" t="s">
        <v>330</v>
      </c>
      <c r="U3" s="811" t="s">
        <v>461</v>
      </c>
      <c r="V3" s="808" t="s">
        <v>250</v>
      </c>
      <c r="W3" s="808" t="s">
        <v>251</v>
      </c>
      <c r="X3" s="809" t="s">
        <v>328</v>
      </c>
      <c r="Y3" s="810" t="s">
        <v>344</v>
      </c>
      <c r="Z3" s="813" t="s">
        <v>330</v>
      </c>
      <c r="AA3" s="814" t="s">
        <v>597</v>
      </c>
      <c r="AB3" s="815" t="s">
        <v>683</v>
      </c>
      <c r="AC3" s="991" t="s">
        <v>689</v>
      </c>
      <c r="AD3" s="992" t="s">
        <v>251</v>
      </c>
      <c r="AE3" s="818" t="s">
        <v>648</v>
      </c>
      <c r="AF3" s="552" t="s">
        <v>697</v>
      </c>
      <c r="AG3" s="552" t="s">
        <v>698</v>
      </c>
      <c r="AH3" s="552" t="s">
        <v>699</v>
      </c>
      <c r="AI3" s="552" t="s">
        <v>0</v>
      </c>
      <c r="AJ3" s="553" t="s">
        <v>647</v>
      </c>
      <c r="AK3" s="552"/>
      <c r="AL3" s="552"/>
      <c r="AM3" s="552"/>
      <c r="AN3" s="813" t="s">
        <v>329</v>
      </c>
      <c r="AO3" s="812" t="s">
        <v>330</v>
      </c>
      <c r="AP3" s="819" t="s">
        <v>601</v>
      </c>
      <c r="AQ3" s="804"/>
      <c r="AR3" s="804"/>
      <c r="AS3" s="546"/>
      <c r="AT3" s="594" t="s">
        <v>671</v>
      </c>
      <c r="AU3" s="595"/>
      <c r="AV3" s="595"/>
      <c r="AW3" s="595"/>
      <c r="AX3" s="595"/>
      <c r="AY3" s="820"/>
      <c r="AZ3" s="595"/>
      <c r="BA3" s="595"/>
    </row>
    <row r="4" spans="1:53" s="597" customFormat="1" ht="55.5" customHeight="1">
      <c r="A4" s="993" t="s">
        <v>671</v>
      </c>
      <c r="B4" s="994"/>
      <c r="C4" s="995"/>
      <c r="D4" s="996" t="s">
        <v>589</v>
      </c>
      <c r="E4" s="996"/>
      <c r="F4" s="996" t="s">
        <v>688</v>
      </c>
      <c r="G4" s="806" t="s">
        <v>599</v>
      </c>
      <c r="H4" s="995" t="s">
        <v>590</v>
      </c>
      <c r="I4" s="995" t="s">
        <v>213</v>
      </c>
      <c r="J4" s="997">
        <f aca="true" t="shared" si="0" ref="J4:Y4">J101</f>
        <v>11920.815095217418</v>
      </c>
      <c r="K4" s="995"/>
      <c r="L4" s="995"/>
      <c r="M4" s="998">
        <f t="shared" si="0"/>
        <v>0.11271005512221592</v>
      </c>
      <c r="N4" s="999">
        <f t="shared" si="0"/>
        <v>1391.722920020885</v>
      </c>
      <c r="O4" s="995">
        <f t="shared" si="0"/>
        <v>12856.600000000002</v>
      </c>
      <c r="P4" s="995"/>
      <c r="Q4" s="995"/>
      <c r="R4" s="998">
        <f t="shared" si="0"/>
        <v>0.3532004784493334</v>
      </c>
      <c r="S4" s="1000">
        <f>S101</f>
        <v>3454.8658</v>
      </c>
      <c r="T4" s="999">
        <f>T101</f>
        <v>2705</v>
      </c>
      <c r="U4" s="995">
        <f t="shared" si="0"/>
        <v>2291.1</v>
      </c>
      <c r="V4" s="995"/>
      <c r="W4" s="995"/>
      <c r="X4" s="998">
        <f t="shared" si="0"/>
        <v>0.06613682398051517</v>
      </c>
      <c r="Y4" s="1000">
        <f t="shared" si="0"/>
        <v>142.7960166563303</v>
      </c>
      <c r="Z4" s="999">
        <f>Z101</f>
        <v>3900.0225</v>
      </c>
      <c r="AA4" s="1001"/>
      <c r="AB4" s="1001"/>
      <c r="AC4" s="1001"/>
      <c r="AD4" s="1002"/>
      <c r="AE4" s="1003"/>
      <c r="AF4" s="554"/>
      <c r="AG4" s="554"/>
      <c r="AH4" s="1004"/>
      <c r="AI4" s="554"/>
      <c r="AJ4" s="554"/>
      <c r="AK4" s="554"/>
      <c r="AL4" s="554"/>
      <c r="AM4" s="554"/>
      <c r="AN4" s="554"/>
      <c r="AO4" s="829"/>
      <c r="AP4" s="830"/>
      <c r="AQ4" s="831"/>
      <c r="AR4" s="831"/>
      <c r="AS4" s="599"/>
      <c r="AT4" s="599"/>
      <c r="AU4" s="600" t="s">
        <v>661</v>
      </c>
      <c r="AV4" s="832" t="s">
        <v>601</v>
      </c>
      <c r="AW4" s="832" t="s">
        <v>676</v>
      </c>
      <c r="AX4" s="833" t="s">
        <v>672</v>
      </c>
      <c r="AY4" s="834"/>
      <c r="AZ4" s="833" t="s">
        <v>677</v>
      </c>
      <c r="BA4" s="835"/>
    </row>
    <row r="5" spans="1:53" ht="20.25">
      <c r="A5" s="921" t="s">
        <v>111</v>
      </c>
      <c r="B5" s="921" t="s">
        <v>111</v>
      </c>
      <c r="C5" s="822"/>
      <c r="F5" s="546">
        <v>75</v>
      </c>
      <c r="G5" s="546">
        <v>75</v>
      </c>
      <c r="H5" s="822"/>
      <c r="I5" s="822">
        <v>75</v>
      </c>
      <c r="J5" s="836"/>
      <c r="L5" s="546">
        <f>SUM(J5:K5)</f>
        <v>0</v>
      </c>
      <c r="N5" s="837"/>
      <c r="O5" s="416"/>
      <c r="P5" s="416"/>
      <c r="Q5" s="546">
        <f>SUM(O5:P5)</f>
        <v>0</v>
      </c>
      <c r="T5" s="837"/>
      <c r="U5" s="416"/>
      <c r="V5" s="416"/>
      <c r="W5" s="546">
        <f>SUM(U5:V5)</f>
        <v>0</v>
      </c>
      <c r="Z5" s="837"/>
      <c r="AA5" s="838"/>
      <c r="AB5" s="838"/>
      <c r="AC5" s="838"/>
      <c r="AD5" s="555"/>
      <c r="AE5" s="839"/>
      <c r="AF5" s="556">
        <f aca="true" t="shared" si="1" ref="AF5:AF68">+AE5*AD5</f>
        <v>0</v>
      </c>
      <c r="AG5" s="556">
        <f>SUM(AF5,AC5)</f>
        <v>0</v>
      </c>
      <c r="AH5" s="561"/>
      <c r="AI5" s="555">
        <f aca="true" t="shared" si="2" ref="AI5:AI68">+AF5*(AF$102/AF$101)</f>
        <v>0</v>
      </c>
      <c r="AJ5" s="556">
        <f>+AI5+AC5</f>
        <v>0</v>
      </c>
      <c r="AK5" s="556"/>
      <c r="AL5" s="556"/>
      <c r="AM5" s="556"/>
      <c r="AN5" s="556">
        <f>SUM(N5:N5,S5,Y5)</f>
        <v>0</v>
      </c>
      <c r="AO5" s="840">
        <f aca="true" t="shared" si="3" ref="AO5:AO68">SUM(Z5,T5)</f>
        <v>0</v>
      </c>
      <c r="AP5" s="830"/>
      <c r="AQ5" s="416"/>
      <c r="AR5" s="841"/>
      <c r="AT5" s="604" t="s">
        <v>211</v>
      </c>
      <c r="AU5" s="605"/>
      <c r="AV5" s="842"/>
      <c r="AW5" s="842"/>
      <c r="AX5" s="605" t="s">
        <v>214</v>
      </c>
      <c r="AY5" s="608" t="s">
        <v>114</v>
      </c>
      <c r="AZ5" s="605" t="s">
        <v>214</v>
      </c>
      <c r="BA5" s="608" t="s">
        <v>114</v>
      </c>
    </row>
    <row r="6" spans="1:53" ht="20.25">
      <c r="A6" s="921">
        <v>12</v>
      </c>
      <c r="B6" s="921" t="s">
        <v>230</v>
      </c>
      <c r="C6" s="843" t="s">
        <v>496</v>
      </c>
      <c r="D6" s="844">
        <v>424.42</v>
      </c>
      <c r="E6" s="841">
        <v>1201</v>
      </c>
      <c r="F6" s="844">
        <v>424.42</v>
      </c>
      <c r="G6" s="844">
        <v>424</v>
      </c>
      <c r="H6" s="844">
        <f>+F6-D6-O6-U6</f>
        <v>0</v>
      </c>
      <c r="I6" s="822" t="s">
        <v>207</v>
      </c>
      <c r="J6" s="836">
        <v>0</v>
      </c>
      <c r="L6" s="845">
        <f aca="true" t="shared" si="4" ref="L6:L69">SUM(J6:K6)</f>
        <v>0</v>
      </c>
      <c r="N6" s="837"/>
      <c r="O6" s="416"/>
      <c r="P6" s="416"/>
      <c r="Q6" s="546">
        <f aca="true" t="shared" si="5" ref="Q6:Q69">SUM(O6:P6)</f>
        <v>0</v>
      </c>
      <c r="S6" s="546">
        <f aca="true" t="shared" si="6" ref="S6:S69">Q6*R6</f>
        <v>0</v>
      </c>
      <c r="T6" s="837"/>
      <c r="U6" s="416"/>
      <c r="V6" s="416"/>
      <c r="W6" s="546">
        <f aca="true" t="shared" si="7" ref="W6:W69">SUM(U6:V6)</f>
        <v>0</v>
      </c>
      <c r="Y6" s="546">
        <f aca="true" t="shared" si="8" ref="Y6:Y69">W6*X6</f>
        <v>0</v>
      </c>
      <c r="Z6" s="837"/>
      <c r="AA6" s="838"/>
      <c r="AB6" s="838"/>
      <c r="AC6" s="838"/>
      <c r="AD6" s="555"/>
      <c r="AE6" s="839"/>
      <c r="AF6" s="556">
        <f t="shared" si="1"/>
        <v>0</v>
      </c>
      <c r="AG6" s="556">
        <f aca="true" t="shared" si="9" ref="AG6:AG69">SUM(AF6,AC6)</f>
        <v>0</v>
      </c>
      <c r="AH6" s="561"/>
      <c r="AI6" s="555">
        <f t="shared" si="2"/>
        <v>0</v>
      </c>
      <c r="AJ6" s="556">
        <f aca="true" t="shared" si="10" ref="AJ6:AJ69">+AI6+AC6</f>
        <v>0</v>
      </c>
      <c r="AK6" s="556"/>
      <c r="AL6" s="556"/>
      <c r="AM6" s="556"/>
      <c r="AN6" s="556">
        <f aca="true" t="shared" si="11" ref="AN6:AN69">SUM(N6:N6,S6,Y6)</f>
        <v>0</v>
      </c>
      <c r="AO6" s="840">
        <f t="shared" si="3"/>
        <v>0</v>
      </c>
      <c r="AP6" s="830"/>
      <c r="AQ6" s="416"/>
      <c r="AR6" s="841"/>
      <c r="AS6" s="609">
        <v>12</v>
      </c>
      <c r="AT6" s="609" t="s">
        <v>332</v>
      </c>
      <c r="AU6" s="610">
        <f>SUM(AA6:AB11)</f>
        <v>360.73726113000004</v>
      </c>
      <c r="AV6" s="846">
        <f>SUM(AC6:AC11)</f>
        <v>0</v>
      </c>
      <c r="AW6" s="846">
        <f>SUM(AU6:AV6)</f>
        <v>360.73726113000004</v>
      </c>
      <c r="AX6" s="610">
        <f>SUM(AF6:AF11)</f>
        <v>180.36863056500002</v>
      </c>
      <c r="AY6" s="613">
        <f>+AX6/AW6</f>
        <v>0.5</v>
      </c>
      <c r="AZ6" s="1005">
        <f>SUM(AX6,AV6)</f>
        <v>180.36863056500002</v>
      </c>
      <c r="BA6" s="613">
        <f>+AZ6/AU6</f>
        <v>0.5</v>
      </c>
    </row>
    <row r="7" spans="1:53" ht="20.25">
      <c r="A7" s="921">
        <v>12</v>
      </c>
      <c r="B7" s="921" t="s">
        <v>253</v>
      </c>
      <c r="C7" s="843" t="s">
        <v>497</v>
      </c>
      <c r="D7" s="844">
        <v>1770.1818600000001</v>
      </c>
      <c r="E7" s="841">
        <v>1202</v>
      </c>
      <c r="F7" s="844">
        <v>1769.81</v>
      </c>
      <c r="G7" s="844">
        <v>1771</v>
      </c>
      <c r="H7" s="844"/>
      <c r="I7" s="822" t="s">
        <v>207</v>
      </c>
      <c r="J7" s="836"/>
      <c r="L7" s="845">
        <f t="shared" si="4"/>
        <v>0</v>
      </c>
      <c r="N7" s="837"/>
      <c r="O7" s="416"/>
      <c r="P7" s="416"/>
      <c r="Q7" s="546">
        <f t="shared" si="5"/>
        <v>0</v>
      </c>
      <c r="S7" s="546">
        <f t="shared" si="6"/>
        <v>0</v>
      </c>
      <c r="T7" s="837"/>
      <c r="U7" s="416"/>
      <c r="V7" s="416"/>
      <c r="W7" s="546">
        <f t="shared" si="7"/>
        <v>0</v>
      </c>
      <c r="Y7" s="546">
        <f t="shared" si="8"/>
        <v>0</v>
      </c>
      <c r="Z7" s="837"/>
      <c r="AA7" s="838"/>
      <c r="AB7" s="838"/>
      <c r="AC7" s="838"/>
      <c r="AD7" s="555"/>
      <c r="AE7" s="839"/>
      <c r="AF7" s="556">
        <f t="shared" si="1"/>
        <v>0</v>
      </c>
      <c r="AG7" s="556">
        <f t="shared" si="9"/>
        <v>0</v>
      </c>
      <c r="AH7" s="561"/>
      <c r="AI7" s="555">
        <f t="shared" si="2"/>
        <v>0</v>
      </c>
      <c r="AJ7" s="556">
        <f t="shared" si="10"/>
        <v>0</v>
      </c>
      <c r="AK7" s="556"/>
      <c r="AL7" s="556"/>
      <c r="AM7" s="556"/>
      <c r="AN7" s="556">
        <f t="shared" si="11"/>
        <v>0</v>
      </c>
      <c r="AO7" s="840">
        <f t="shared" si="3"/>
        <v>0</v>
      </c>
      <c r="AP7" s="830"/>
      <c r="AQ7" s="416"/>
      <c r="AR7" s="841"/>
      <c r="AS7" s="609">
        <v>13</v>
      </c>
      <c r="AT7" s="609" t="s">
        <v>215</v>
      </c>
      <c r="AU7" s="610">
        <f>SUM(AA12:AB21)</f>
        <v>2375.7077952</v>
      </c>
      <c r="AV7" s="846">
        <f>SUM(AC12:AC21)</f>
        <v>0</v>
      </c>
      <c r="AW7" s="846">
        <f aca="true" t="shared" si="12" ref="AW7:AW22">SUM(AU7:AV7)</f>
        <v>2375.7077952</v>
      </c>
      <c r="AX7" s="610">
        <f>SUM(AF12:AF21)</f>
        <v>1114.55388044</v>
      </c>
      <c r="AY7" s="613">
        <f aca="true" t="shared" si="13" ref="AY7:AY22">+AX7/AW7</f>
        <v>0.4691460299502746</v>
      </c>
      <c r="AZ7" s="1005">
        <f aca="true" t="shared" si="14" ref="AZ7:AZ21">SUM(AX7,AV7)</f>
        <v>1114.55388044</v>
      </c>
      <c r="BA7" s="613">
        <f aca="true" t="shared" si="15" ref="BA7:BA22">+AZ7/AU7</f>
        <v>0.4691460299502746</v>
      </c>
    </row>
    <row r="8" spans="1:53" ht="20.25">
      <c r="A8" s="921">
        <v>12</v>
      </c>
      <c r="B8" s="921" t="s">
        <v>255</v>
      </c>
      <c r="C8" s="843" t="s">
        <v>498</v>
      </c>
      <c r="D8" s="844">
        <v>1217.83908</v>
      </c>
      <c r="E8" s="841">
        <v>1203</v>
      </c>
      <c r="F8" s="844">
        <v>1217.81</v>
      </c>
      <c r="G8" s="844">
        <v>1220</v>
      </c>
      <c r="H8" s="844"/>
      <c r="I8" s="822" t="s">
        <v>207</v>
      </c>
      <c r="J8" s="836"/>
      <c r="L8" s="845">
        <f t="shared" si="4"/>
        <v>0</v>
      </c>
      <c r="N8" s="837"/>
      <c r="O8" s="416"/>
      <c r="P8" s="416"/>
      <c r="Q8" s="546">
        <f t="shared" si="5"/>
        <v>0</v>
      </c>
      <c r="S8" s="546">
        <f t="shared" si="6"/>
        <v>0</v>
      </c>
      <c r="T8" s="837"/>
      <c r="U8" s="416"/>
      <c r="V8" s="416"/>
      <c r="W8" s="546">
        <f t="shared" si="7"/>
        <v>0</v>
      </c>
      <c r="Y8" s="546">
        <f t="shared" si="8"/>
        <v>0</v>
      </c>
      <c r="Z8" s="837"/>
      <c r="AA8" s="838"/>
      <c r="AB8" s="838"/>
      <c r="AC8" s="838"/>
      <c r="AD8" s="555"/>
      <c r="AE8" s="839"/>
      <c r="AF8" s="556">
        <f t="shared" si="1"/>
        <v>0</v>
      </c>
      <c r="AG8" s="556">
        <f t="shared" si="9"/>
        <v>0</v>
      </c>
      <c r="AH8" s="561"/>
      <c r="AI8" s="555">
        <f t="shared" si="2"/>
        <v>0</v>
      </c>
      <c r="AJ8" s="556">
        <f t="shared" si="10"/>
        <v>0</v>
      </c>
      <c r="AK8" s="556"/>
      <c r="AL8" s="556"/>
      <c r="AM8" s="556"/>
      <c r="AN8" s="556">
        <f t="shared" si="11"/>
        <v>0</v>
      </c>
      <c r="AO8" s="840">
        <f t="shared" si="3"/>
        <v>0</v>
      </c>
      <c r="AP8" s="830"/>
      <c r="AQ8" s="416"/>
      <c r="AR8" s="841"/>
      <c r="AS8" s="609">
        <v>14</v>
      </c>
      <c r="AT8" s="609" t="s">
        <v>333</v>
      </c>
      <c r="AU8" s="610">
        <f>SUM(AA22:AB43)</f>
        <v>6981.913316599027</v>
      </c>
      <c r="AV8" s="846">
        <f>SUM(AC22:AC43)</f>
        <v>0</v>
      </c>
      <c r="AW8" s="846">
        <f t="shared" si="12"/>
        <v>6981.913316599027</v>
      </c>
      <c r="AX8" s="610">
        <f>SUM(AF22:AF43)</f>
        <v>2576.482400645093</v>
      </c>
      <c r="AY8" s="613">
        <f t="shared" si="13"/>
        <v>0.3690223988487053</v>
      </c>
      <c r="AZ8" s="1005">
        <f t="shared" si="14"/>
        <v>2576.482400645093</v>
      </c>
      <c r="BA8" s="613">
        <f t="shared" si="15"/>
        <v>0.3690223988487053</v>
      </c>
    </row>
    <row r="9" spans="1:53" ht="20.25">
      <c r="A9" s="921">
        <v>12</v>
      </c>
      <c r="B9" s="921" t="s">
        <v>313</v>
      </c>
      <c r="C9" s="843" t="s">
        <v>499</v>
      </c>
      <c r="D9" s="844">
        <v>323.84273887</v>
      </c>
      <c r="E9" s="841">
        <v>1204</v>
      </c>
      <c r="F9" s="844">
        <v>685.08</v>
      </c>
      <c r="G9" s="844">
        <v>378</v>
      </c>
      <c r="H9" s="844">
        <f>+F9-D9-O9-U9</f>
        <v>117.23726113000004</v>
      </c>
      <c r="I9" s="822" t="s">
        <v>207</v>
      </c>
      <c r="J9" s="847">
        <v>116.73726113000004</v>
      </c>
      <c r="K9" s="845"/>
      <c r="L9" s="845">
        <f t="shared" si="4"/>
        <v>116.73726113000004</v>
      </c>
      <c r="M9" s="615">
        <v>0.15</v>
      </c>
      <c r="N9" s="848">
        <f>L9*M9</f>
        <v>17.510589169500005</v>
      </c>
      <c r="O9" s="416">
        <v>244</v>
      </c>
      <c r="P9" s="416"/>
      <c r="Q9" s="546">
        <f t="shared" si="5"/>
        <v>244</v>
      </c>
      <c r="R9" s="615">
        <v>0.15</v>
      </c>
      <c r="S9" s="845">
        <f t="shared" si="6"/>
        <v>36.6</v>
      </c>
      <c r="T9" s="848"/>
      <c r="U9" s="416"/>
      <c r="V9" s="416"/>
      <c r="W9" s="546">
        <f t="shared" si="7"/>
        <v>0</v>
      </c>
      <c r="X9" s="615">
        <v>0</v>
      </c>
      <c r="Y9" s="845">
        <f t="shared" si="8"/>
        <v>0</v>
      </c>
      <c r="Z9" s="848">
        <f>0.15*(R9+U9)</f>
        <v>0.0225</v>
      </c>
      <c r="AA9" s="838">
        <v>360.73726113000004</v>
      </c>
      <c r="AB9" s="838">
        <v>0</v>
      </c>
      <c r="AC9" s="838"/>
      <c r="AD9" s="555">
        <f aca="true" t="shared" si="16" ref="AD9:AD68">SUM(AA9:AC9)</f>
        <v>360.73726113000004</v>
      </c>
      <c r="AE9" s="839">
        <v>0.5</v>
      </c>
      <c r="AF9" s="556">
        <f t="shared" si="1"/>
        <v>180.36863056500002</v>
      </c>
      <c r="AG9" s="556">
        <f t="shared" si="9"/>
        <v>180.36863056500002</v>
      </c>
      <c r="AH9" s="561">
        <f aca="true" t="shared" si="17" ref="AH9:AH69">+AG9/(AA9+AB9)</f>
        <v>0.5</v>
      </c>
      <c r="AI9" s="555">
        <f t="shared" si="2"/>
        <v>44.055519886138654</v>
      </c>
      <c r="AJ9" s="556">
        <f t="shared" si="10"/>
        <v>44.055519886138654</v>
      </c>
      <c r="AK9" s="556"/>
      <c r="AL9" s="556"/>
      <c r="AM9" s="556"/>
      <c r="AN9" s="556">
        <f t="shared" si="11"/>
        <v>54.1105891695</v>
      </c>
      <c r="AO9" s="840">
        <f t="shared" si="3"/>
        <v>0.0225</v>
      </c>
      <c r="AP9" s="830"/>
      <c r="AQ9" s="416"/>
      <c r="AR9" s="841"/>
      <c r="AS9" s="609">
        <v>15</v>
      </c>
      <c r="AT9" s="609" t="s">
        <v>334</v>
      </c>
      <c r="AU9" s="610">
        <f>SUM(AA44:AB45)</f>
        <v>1234.6223</v>
      </c>
      <c r="AV9" s="846">
        <f>SUM(AC44:AC45)</f>
        <v>0</v>
      </c>
      <c r="AW9" s="846">
        <f t="shared" si="12"/>
        <v>1234.6223</v>
      </c>
      <c r="AX9" s="610">
        <f>SUM(AF44:AF45)</f>
        <v>1132.122468</v>
      </c>
      <c r="AY9" s="613">
        <f t="shared" si="13"/>
        <v>0.9169787942433892</v>
      </c>
      <c r="AZ9" s="1005">
        <f t="shared" si="14"/>
        <v>1132.122468</v>
      </c>
      <c r="BA9" s="613">
        <f t="shared" si="15"/>
        <v>0.9169787942433892</v>
      </c>
    </row>
    <row r="10" spans="1:53" ht="20.25">
      <c r="A10" s="921">
        <v>12</v>
      </c>
      <c r="B10" s="921" t="s">
        <v>254</v>
      </c>
      <c r="C10" s="843" t="s">
        <v>500</v>
      </c>
      <c r="D10" s="844">
        <v>15.639370000000001</v>
      </c>
      <c r="E10" s="841">
        <v>1206</v>
      </c>
      <c r="F10" s="844">
        <v>15.64</v>
      </c>
      <c r="G10" s="844">
        <v>16</v>
      </c>
      <c r="H10" s="844"/>
      <c r="I10" s="822" t="s">
        <v>207</v>
      </c>
      <c r="J10" s="836"/>
      <c r="L10" s="845">
        <f t="shared" si="4"/>
        <v>0</v>
      </c>
      <c r="N10" s="837">
        <f aca="true" t="shared" si="18" ref="N10:N73">L10*M10</f>
        <v>0</v>
      </c>
      <c r="O10" s="416"/>
      <c r="P10" s="416"/>
      <c r="Q10" s="546">
        <f t="shared" si="5"/>
        <v>0</v>
      </c>
      <c r="S10" s="546">
        <f t="shared" si="6"/>
        <v>0</v>
      </c>
      <c r="T10" s="837"/>
      <c r="U10" s="416"/>
      <c r="V10" s="416"/>
      <c r="W10" s="546">
        <f t="shared" si="7"/>
        <v>0</v>
      </c>
      <c r="Y10" s="546">
        <f t="shared" si="8"/>
        <v>0</v>
      </c>
      <c r="Z10" s="837"/>
      <c r="AA10" s="838"/>
      <c r="AB10" s="838"/>
      <c r="AC10" s="838"/>
      <c r="AD10" s="555"/>
      <c r="AE10" s="839"/>
      <c r="AF10" s="556">
        <f t="shared" si="1"/>
        <v>0</v>
      </c>
      <c r="AG10" s="556">
        <f t="shared" si="9"/>
        <v>0</v>
      </c>
      <c r="AH10" s="561"/>
      <c r="AI10" s="555">
        <f t="shared" si="2"/>
        <v>0</v>
      </c>
      <c r="AJ10" s="556">
        <f t="shared" si="10"/>
        <v>0</v>
      </c>
      <c r="AK10" s="556"/>
      <c r="AL10" s="556"/>
      <c r="AM10" s="556"/>
      <c r="AN10" s="556">
        <f t="shared" si="11"/>
        <v>0</v>
      </c>
      <c r="AO10" s="840">
        <f t="shared" si="3"/>
        <v>0</v>
      </c>
      <c r="AP10" s="830"/>
      <c r="AQ10" s="416"/>
      <c r="AR10" s="841"/>
      <c r="AS10" s="609">
        <v>16</v>
      </c>
      <c r="AT10" s="609" t="s">
        <v>216</v>
      </c>
      <c r="AU10" s="610">
        <f>SUM(AA46:AB46)</f>
        <v>1143.74</v>
      </c>
      <c r="AV10" s="846">
        <f>SUM(AC46)</f>
        <v>0</v>
      </c>
      <c r="AW10" s="846">
        <f t="shared" si="12"/>
        <v>1143.74</v>
      </c>
      <c r="AX10" s="610">
        <f>SUM(AF46)</f>
        <v>571.87</v>
      </c>
      <c r="AY10" s="613">
        <f t="shared" si="13"/>
        <v>0.5</v>
      </c>
      <c r="AZ10" s="1005">
        <f t="shared" si="14"/>
        <v>571.87</v>
      </c>
      <c r="BA10" s="613">
        <f t="shared" si="15"/>
        <v>0.5</v>
      </c>
    </row>
    <row r="11" spans="1:53" ht="20.25">
      <c r="A11" s="921">
        <v>12</v>
      </c>
      <c r="B11" s="921" t="s">
        <v>256</v>
      </c>
      <c r="C11" s="843" t="s">
        <v>501</v>
      </c>
      <c r="D11" s="844">
        <v>5808.60301</v>
      </c>
      <c r="E11" s="841">
        <v>1250</v>
      </c>
      <c r="F11" s="844">
        <v>5809</v>
      </c>
      <c r="G11" s="844">
        <v>5815</v>
      </c>
      <c r="H11" s="844"/>
      <c r="I11" s="822" t="s">
        <v>207</v>
      </c>
      <c r="J11" s="836"/>
      <c r="L11" s="845">
        <f t="shared" si="4"/>
        <v>0</v>
      </c>
      <c r="N11" s="837">
        <f t="shared" si="18"/>
        <v>0</v>
      </c>
      <c r="O11" s="416"/>
      <c r="P11" s="416"/>
      <c r="Q11" s="546">
        <f t="shared" si="5"/>
        <v>0</v>
      </c>
      <c r="S11" s="546">
        <f t="shared" si="6"/>
        <v>0</v>
      </c>
      <c r="T11" s="837"/>
      <c r="U11" s="416"/>
      <c r="V11" s="416"/>
      <c r="W11" s="546">
        <f t="shared" si="7"/>
        <v>0</v>
      </c>
      <c r="Y11" s="546">
        <f t="shared" si="8"/>
        <v>0</v>
      </c>
      <c r="Z11" s="837"/>
      <c r="AA11" s="838"/>
      <c r="AB11" s="838"/>
      <c r="AC11" s="838"/>
      <c r="AD11" s="555"/>
      <c r="AE11" s="839"/>
      <c r="AF11" s="556">
        <f t="shared" si="1"/>
        <v>0</v>
      </c>
      <c r="AG11" s="556">
        <f t="shared" si="9"/>
        <v>0</v>
      </c>
      <c r="AH11" s="561"/>
      <c r="AI11" s="555">
        <f t="shared" si="2"/>
        <v>0</v>
      </c>
      <c r="AJ11" s="556">
        <f t="shared" si="10"/>
        <v>0</v>
      </c>
      <c r="AK11" s="556"/>
      <c r="AL11" s="556"/>
      <c r="AM11" s="556"/>
      <c r="AN11" s="556">
        <f t="shared" si="11"/>
        <v>0</v>
      </c>
      <c r="AO11" s="840">
        <f t="shared" si="3"/>
        <v>0</v>
      </c>
      <c r="AP11" s="830"/>
      <c r="AQ11" s="416"/>
      <c r="AR11" s="841"/>
      <c r="AS11" s="609">
        <v>17</v>
      </c>
      <c r="AT11" s="609" t="s">
        <v>335</v>
      </c>
      <c r="AU11" s="610">
        <f>SUM(AA47:AB49)</f>
        <v>787.966272</v>
      </c>
      <c r="AV11" s="846">
        <f>SUM(AC47:AC49)</f>
        <v>0</v>
      </c>
      <c r="AW11" s="846">
        <f t="shared" si="12"/>
        <v>787.966272</v>
      </c>
      <c r="AX11" s="610">
        <f>SUM(AF47:AF49)</f>
        <v>1049.676272</v>
      </c>
      <c r="AY11" s="613">
        <f t="shared" si="13"/>
        <v>1.3321335053285122</v>
      </c>
      <c r="AZ11" s="1005">
        <f t="shared" si="14"/>
        <v>1049.676272</v>
      </c>
      <c r="BA11" s="613">
        <f t="shared" si="15"/>
        <v>1.3321335053285122</v>
      </c>
    </row>
    <row r="12" spans="1:53" ht="20.25">
      <c r="A12" s="921">
        <v>13</v>
      </c>
      <c r="B12" s="921" t="s">
        <v>257</v>
      </c>
      <c r="C12" s="843" t="s">
        <v>502</v>
      </c>
      <c r="D12" s="844">
        <v>970.65265</v>
      </c>
      <c r="E12" s="841">
        <v>1301</v>
      </c>
      <c r="F12" s="844">
        <v>970.57</v>
      </c>
      <c r="G12" s="844">
        <v>970</v>
      </c>
      <c r="H12" s="844"/>
      <c r="I12" s="822" t="s">
        <v>207</v>
      </c>
      <c r="J12" s="836"/>
      <c r="L12" s="845">
        <f t="shared" si="4"/>
        <v>0</v>
      </c>
      <c r="N12" s="837">
        <f t="shared" si="18"/>
        <v>0</v>
      </c>
      <c r="O12" s="416"/>
      <c r="P12" s="416"/>
      <c r="Q12" s="546">
        <f t="shared" si="5"/>
        <v>0</v>
      </c>
      <c r="S12" s="546">
        <f t="shared" si="6"/>
        <v>0</v>
      </c>
      <c r="T12" s="837"/>
      <c r="U12" s="416"/>
      <c r="V12" s="416"/>
      <c r="W12" s="546">
        <f t="shared" si="7"/>
        <v>0</v>
      </c>
      <c r="Y12" s="546">
        <f t="shared" si="8"/>
        <v>0</v>
      </c>
      <c r="Z12" s="837"/>
      <c r="AA12" s="838"/>
      <c r="AB12" s="838"/>
      <c r="AC12" s="838"/>
      <c r="AD12" s="555"/>
      <c r="AE12" s="839"/>
      <c r="AF12" s="556">
        <f t="shared" si="1"/>
        <v>0</v>
      </c>
      <c r="AG12" s="556">
        <f t="shared" si="9"/>
        <v>0</v>
      </c>
      <c r="AH12" s="561"/>
      <c r="AI12" s="555">
        <f t="shared" si="2"/>
        <v>0</v>
      </c>
      <c r="AJ12" s="556">
        <f t="shared" si="10"/>
        <v>0</v>
      </c>
      <c r="AK12" s="556"/>
      <c r="AL12" s="556"/>
      <c r="AM12" s="556"/>
      <c r="AN12" s="556">
        <f t="shared" si="11"/>
        <v>0</v>
      </c>
      <c r="AO12" s="840">
        <f t="shared" si="3"/>
        <v>0</v>
      </c>
      <c r="AP12" s="830"/>
      <c r="AQ12" s="416"/>
      <c r="AR12" s="841"/>
      <c r="AS12" s="609">
        <v>18</v>
      </c>
      <c r="AT12" s="609" t="s">
        <v>217</v>
      </c>
      <c r="AU12" s="610">
        <f>SUM(AA50:AB56)</f>
        <v>3999.89878589</v>
      </c>
      <c r="AV12" s="846">
        <f>SUM(AC50:AC56)</f>
        <v>250</v>
      </c>
      <c r="AW12" s="846">
        <f t="shared" si="12"/>
        <v>4249.89878589</v>
      </c>
      <c r="AX12" s="610">
        <f>SUM(AF50:AF56)</f>
        <v>4395.028006728248</v>
      </c>
      <c r="AY12" s="613">
        <f t="shared" si="13"/>
        <v>1.0341488652200586</v>
      </c>
      <c r="AZ12" s="1005">
        <f t="shared" si="14"/>
        <v>4645.028006728248</v>
      </c>
      <c r="BA12" s="613">
        <f t="shared" si="15"/>
        <v>1.1612863863240739</v>
      </c>
    </row>
    <row r="13" spans="1:53" ht="20.25">
      <c r="A13" s="921">
        <v>13</v>
      </c>
      <c r="B13" s="921" t="s">
        <v>260</v>
      </c>
      <c r="C13" s="843" t="s">
        <v>503</v>
      </c>
      <c r="D13" s="844">
        <v>-7.77403</v>
      </c>
      <c r="E13" s="841">
        <v>1302</v>
      </c>
      <c r="F13" s="844">
        <v>131.97</v>
      </c>
      <c r="G13" s="844">
        <v>19</v>
      </c>
      <c r="H13" s="844">
        <f>+F13-D13-O13-U13</f>
        <v>139.74403</v>
      </c>
      <c r="I13" s="822" t="s">
        <v>207</v>
      </c>
      <c r="J13" s="847">
        <v>139.74403</v>
      </c>
      <c r="K13" s="845"/>
      <c r="L13" s="845">
        <f t="shared" si="4"/>
        <v>139.74403</v>
      </c>
      <c r="M13" s="615">
        <v>0.25</v>
      </c>
      <c r="N13" s="848">
        <f t="shared" si="18"/>
        <v>34.9360075</v>
      </c>
      <c r="O13" s="416"/>
      <c r="P13" s="416"/>
      <c r="Q13" s="546">
        <f t="shared" si="5"/>
        <v>0</v>
      </c>
      <c r="R13" s="615"/>
      <c r="S13" s="845">
        <f t="shared" si="6"/>
        <v>0</v>
      </c>
      <c r="T13" s="848"/>
      <c r="U13" s="416"/>
      <c r="V13" s="416"/>
      <c r="W13" s="546">
        <f t="shared" si="7"/>
        <v>0</v>
      </c>
      <c r="X13" s="615">
        <v>0</v>
      </c>
      <c r="Y13" s="845">
        <f t="shared" si="8"/>
        <v>0</v>
      </c>
      <c r="Z13" s="848"/>
      <c r="AA13" s="838">
        <v>139.74403</v>
      </c>
      <c r="AB13" s="838">
        <v>0</v>
      </c>
      <c r="AC13" s="838"/>
      <c r="AD13" s="555">
        <f t="shared" si="16"/>
        <v>139.74403</v>
      </c>
      <c r="AE13" s="839">
        <v>1</v>
      </c>
      <c r="AF13" s="556">
        <f t="shared" si="1"/>
        <v>139.74403</v>
      </c>
      <c r="AG13" s="556">
        <f t="shared" si="9"/>
        <v>139.74403</v>
      </c>
      <c r="AH13" s="561">
        <f t="shared" si="17"/>
        <v>1</v>
      </c>
      <c r="AI13" s="555">
        <f t="shared" si="2"/>
        <v>34.132852665949144</v>
      </c>
      <c r="AJ13" s="556">
        <f t="shared" si="10"/>
        <v>34.132852665949144</v>
      </c>
      <c r="AK13" s="556"/>
      <c r="AL13" s="556"/>
      <c r="AM13" s="556"/>
      <c r="AN13" s="556">
        <f t="shared" si="11"/>
        <v>34.9360075</v>
      </c>
      <c r="AO13" s="840">
        <f t="shared" si="3"/>
        <v>0</v>
      </c>
      <c r="AP13" s="830"/>
      <c r="AQ13" s="416"/>
      <c r="AR13" s="841"/>
      <c r="AS13" s="609">
        <v>19</v>
      </c>
      <c r="AT13" s="609" t="s">
        <v>336</v>
      </c>
      <c r="AU13" s="616">
        <f>SUM(AA57:AB57)</f>
        <v>576.7641231999996</v>
      </c>
      <c r="AV13" s="849">
        <f>SUM(AC57)</f>
        <v>0</v>
      </c>
      <c r="AW13" s="849">
        <f t="shared" si="12"/>
        <v>576.7641231999996</v>
      </c>
      <c r="AX13" s="616">
        <f>SUM(AF57)</f>
        <v>115.35282463999994</v>
      </c>
      <c r="AY13" s="613">
        <f t="shared" si="13"/>
        <v>0.2</v>
      </c>
      <c r="AZ13" s="1006">
        <f t="shared" si="14"/>
        <v>115.35282463999994</v>
      </c>
      <c r="BA13" s="613">
        <f t="shared" si="15"/>
        <v>0.2</v>
      </c>
    </row>
    <row r="14" spans="1:53" ht="20.25">
      <c r="A14" s="921">
        <v>13</v>
      </c>
      <c r="B14" s="921" t="s">
        <v>231</v>
      </c>
      <c r="C14" s="843" t="s">
        <v>504</v>
      </c>
      <c r="D14" s="844">
        <v>116.88284</v>
      </c>
      <c r="E14" s="841">
        <v>1303</v>
      </c>
      <c r="F14" s="844">
        <v>106.35</v>
      </c>
      <c r="G14" s="844">
        <v>138</v>
      </c>
      <c r="H14" s="844"/>
      <c r="I14" s="822" t="s">
        <v>207</v>
      </c>
      <c r="J14" s="836"/>
      <c r="L14" s="845">
        <f t="shared" si="4"/>
        <v>0</v>
      </c>
      <c r="N14" s="837">
        <f t="shared" si="18"/>
        <v>0</v>
      </c>
      <c r="O14" s="416"/>
      <c r="P14" s="416"/>
      <c r="Q14" s="546">
        <f t="shared" si="5"/>
        <v>0</v>
      </c>
      <c r="S14" s="546">
        <f t="shared" si="6"/>
        <v>0</v>
      </c>
      <c r="T14" s="837"/>
      <c r="U14" s="416"/>
      <c r="V14" s="416"/>
      <c r="W14" s="546">
        <f t="shared" si="7"/>
        <v>0</v>
      </c>
      <c r="Y14" s="546">
        <f t="shared" si="8"/>
        <v>0</v>
      </c>
      <c r="Z14" s="837"/>
      <c r="AA14" s="838"/>
      <c r="AB14" s="838"/>
      <c r="AC14" s="838"/>
      <c r="AD14" s="555"/>
      <c r="AE14" s="839"/>
      <c r="AF14" s="556">
        <f t="shared" si="1"/>
        <v>0</v>
      </c>
      <c r="AG14" s="556">
        <f t="shared" si="9"/>
        <v>0</v>
      </c>
      <c r="AH14" s="561"/>
      <c r="AI14" s="555">
        <f t="shared" si="2"/>
        <v>0</v>
      </c>
      <c r="AJ14" s="556">
        <f t="shared" si="10"/>
        <v>0</v>
      </c>
      <c r="AK14" s="556"/>
      <c r="AL14" s="556"/>
      <c r="AM14" s="556"/>
      <c r="AN14" s="556">
        <f t="shared" si="11"/>
        <v>0</v>
      </c>
      <c r="AO14" s="840">
        <f t="shared" si="3"/>
        <v>0</v>
      </c>
      <c r="AP14" s="830"/>
      <c r="AQ14" s="416"/>
      <c r="AR14" s="841"/>
      <c r="AS14" s="599">
        <v>1</v>
      </c>
      <c r="AT14" s="599" t="s">
        <v>1</v>
      </c>
      <c r="AU14" s="621">
        <f>SUM(AU6:AU13)</f>
        <v>17461.349854019027</v>
      </c>
      <c r="AV14" s="846">
        <f>SUM(AV6:AV13)</f>
        <v>250</v>
      </c>
      <c r="AW14" s="846">
        <f t="shared" si="12"/>
        <v>17711.349854019027</v>
      </c>
      <c r="AX14" s="621">
        <f>SUM(AX6:AX13)</f>
        <v>11135.454483018342</v>
      </c>
      <c r="AY14" s="613">
        <f t="shared" si="13"/>
        <v>0.6287185660494141</v>
      </c>
      <c r="AZ14" s="1005">
        <f>SUM(AZ6:AZ13)</f>
        <v>11385.454483018342</v>
      </c>
      <c r="BA14" s="613">
        <f t="shared" si="15"/>
        <v>0.6520374758081939</v>
      </c>
    </row>
    <row r="15" spans="1:53" ht="20.25">
      <c r="A15" s="921">
        <v>13</v>
      </c>
      <c r="B15" s="921" t="s">
        <v>232</v>
      </c>
      <c r="C15" s="843" t="s">
        <v>505</v>
      </c>
      <c r="D15" s="844">
        <v>547.01503</v>
      </c>
      <c r="E15" s="841">
        <v>1350</v>
      </c>
      <c r="F15" s="844">
        <v>547.01</v>
      </c>
      <c r="G15" s="844">
        <v>536</v>
      </c>
      <c r="H15" s="844"/>
      <c r="I15" s="822" t="s">
        <v>207</v>
      </c>
      <c r="J15" s="836"/>
      <c r="L15" s="845">
        <f t="shared" si="4"/>
        <v>0</v>
      </c>
      <c r="N15" s="837">
        <f t="shared" si="18"/>
        <v>0</v>
      </c>
      <c r="O15" s="416"/>
      <c r="P15" s="416"/>
      <c r="Q15" s="546">
        <f t="shared" si="5"/>
        <v>0</v>
      </c>
      <c r="S15" s="546">
        <f t="shared" si="6"/>
        <v>0</v>
      </c>
      <c r="T15" s="837"/>
      <c r="U15" s="416"/>
      <c r="V15" s="416"/>
      <c r="W15" s="546">
        <f t="shared" si="7"/>
        <v>0</v>
      </c>
      <c r="Y15" s="546">
        <f t="shared" si="8"/>
        <v>0</v>
      </c>
      <c r="Z15" s="837"/>
      <c r="AA15" s="838"/>
      <c r="AB15" s="838"/>
      <c r="AC15" s="838"/>
      <c r="AD15" s="555"/>
      <c r="AE15" s="839"/>
      <c r="AF15" s="556">
        <f t="shared" si="1"/>
        <v>0</v>
      </c>
      <c r="AG15" s="556">
        <f t="shared" si="9"/>
        <v>0</v>
      </c>
      <c r="AH15" s="561"/>
      <c r="AI15" s="555">
        <f t="shared" si="2"/>
        <v>0</v>
      </c>
      <c r="AJ15" s="556">
        <f t="shared" si="10"/>
        <v>0</v>
      </c>
      <c r="AK15" s="556"/>
      <c r="AL15" s="556"/>
      <c r="AM15" s="556"/>
      <c r="AN15" s="556">
        <f t="shared" si="11"/>
        <v>0</v>
      </c>
      <c r="AO15" s="840">
        <f t="shared" si="3"/>
        <v>0</v>
      </c>
      <c r="AP15" s="830"/>
      <c r="AQ15" s="416"/>
      <c r="AR15" s="841"/>
      <c r="AS15" s="599">
        <v>2</v>
      </c>
      <c r="AT15" s="599" t="s">
        <v>337</v>
      </c>
      <c r="AU15" s="621">
        <f>SUM(AA58:AB61)</f>
        <v>138.2</v>
      </c>
      <c r="AV15" s="846">
        <f>SUM(AC58:AC61)</f>
        <v>0</v>
      </c>
      <c r="AW15" s="846">
        <f t="shared" si="12"/>
        <v>138.2</v>
      </c>
      <c r="AX15" s="621">
        <f>SUM(AF58:AF61)</f>
        <v>41.459999999999994</v>
      </c>
      <c r="AY15" s="613">
        <f t="shared" si="13"/>
        <v>0.3</v>
      </c>
      <c r="AZ15" s="1005">
        <f t="shared" si="14"/>
        <v>41.459999999999994</v>
      </c>
      <c r="BA15" s="613">
        <f t="shared" si="15"/>
        <v>0.3</v>
      </c>
    </row>
    <row r="16" spans="1:53" ht="20.25">
      <c r="A16" s="921">
        <v>13</v>
      </c>
      <c r="B16" s="921" t="s">
        <v>258</v>
      </c>
      <c r="C16" s="843" t="s">
        <v>506</v>
      </c>
      <c r="D16" s="844">
        <v>463.45526079999996</v>
      </c>
      <c r="E16" s="841">
        <v>1351</v>
      </c>
      <c r="F16" s="844">
        <v>470</v>
      </c>
      <c r="G16" s="844">
        <v>453</v>
      </c>
      <c r="H16" s="844">
        <f>+F16-D16-O16-U16</f>
        <v>6.544739200000038</v>
      </c>
      <c r="I16" s="822" t="s">
        <v>207</v>
      </c>
      <c r="J16" s="847">
        <v>6.544739200000038</v>
      </c>
      <c r="K16" s="845"/>
      <c r="L16" s="845">
        <f t="shared" si="4"/>
        <v>6.544739200000038</v>
      </c>
      <c r="M16" s="615">
        <v>0.15</v>
      </c>
      <c r="N16" s="848">
        <f t="shared" si="18"/>
        <v>0.9817108800000056</v>
      </c>
      <c r="O16" s="416"/>
      <c r="P16" s="416"/>
      <c r="Q16" s="546">
        <f t="shared" si="5"/>
        <v>0</v>
      </c>
      <c r="R16" s="615"/>
      <c r="S16" s="845">
        <f t="shared" si="6"/>
        <v>0</v>
      </c>
      <c r="T16" s="848"/>
      <c r="U16" s="416"/>
      <c r="V16" s="416"/>
      <c r="W16" s="546">
        <f t="shared" si="7"/>
        <v>0</v>
      </c>
      <c r="X16" s="615">
        <v>0</v>
      </c>
      <c r="Y16" s="845">
        <f t="shared" si="8"/>
        <v>0</v>
      </c>
      <c r="Z16" s="848"/>
      <c r="AA16" s="838">
        <v>6.544739200000038</v>
      </c>
      <c r="AB16" s="838">
        <v>0</v>
      </c>
      <c r="AC16" s="838"/>
      <c r="AD16" s="555">
        <f t="shared" si="16"/>
        <v>6.544739200000038</v>
      </c>
      <c r="AE16" s="839">
        <v>0.2</v>
      </c>
      <c r="AF16" s="556">
        <f t="shared" si="1"/>
        <v>1.3089478400000076</v>
      </c>
      <c r="AG16" s="556">
        <f t="shared" si="9"/>
        <v>1.3089478400000076</v>
      </c>
      <c r="AH16" s="561">
        <f t="shared" si="17"/>
        <v>0.2</v>
      </c>
      <c r="AI16" s="555">
        <f t="shared" si="2"/>
        <v>0.31971400688911455</v>
      </c>
      <c r="AJ16" s="556">
        <f t="shared" si="10"/>
        <v>0.31971400688911455</v>
      </c>
      <c r="AK16" s="556"/>
      <c r="AL16" s="556"/>
      <c r="AM16" s="556"/>
      <c r="AN16" s="556">
        <f t="shared" si="11"/>
        <v>0.9817108800000056</v>
      </c>
      <c r="AO16" s="840">
        <f t="shared" si="3"/>
        <v>0</v>
      </c>
      <c r="AP16" s="830"/>
      <c r="AQ16" s="416"/>
      <c r="AR16" s="841"/>
      <c r="AS16" s="599">
        <v>3</v>
      </c>
      <c r="AT16" s="599" t="s">
        <v>338</v>
      </c>
      <c r="AU16" s="621">
        <f>SUM(AA62:AB65)</f>
        <v>196.79896617000003</v>
      </c>
      <c r="AV16" s="846">
        <f>SUM(AC62:AC65)</f>
        <v>0</v>
      </c>
      <c r="AW16" s="846">
        <f t="shared" si="12"/>
        <v>196.79896617000003</v>
      </c>
      <c r="AX16" s="621">
        <f>SUM(AF62:AF65)</f>
        <v>64.91876436000001</v>
      </c>
      <c r="AY16" s="613">
        <f t="shared" si="13"/>
        <v>0.32987350301383955</v>
      </c>
      <c r="AZ16" s="1005">
        <f t="shared" si="14"/>
        <v>64.91876436000001</v>
      </c>
      <c r="BA16" s="613">
        <f t="shared" si="15"/>
        <v>0.32987350301383955</v>
      </c>
    </row>
    <row r="17" spans="1:53" ht="20.25">
      <c r="A17" s="921">
        <v>13</v>
      </c>
      <c r="B17" s="921" t="s">
        <v>261</v>
      </c>
      <c r="C17" s="843" t="s">
        <v>507</v>
      </c>
      <c r="D17" s="844">
        <v>0</v>
      </c>
      <c r="E17" s="841">
        <v>1352</v>
      </c>
      <c r="F17" s="844">
        <v>787.95</v>
      </c>
      <c r="G17" s="844">
        <v>0</v>
      </c>
      <c r="H17" s="844">
        <f>+F17-D17-O17-U17</f>
        <v>226.95000000000005</v>
      </c>
      <c r="I17" s="822" t="s">
        <v>207</v>
      </c>
      <c r="J17" s="847">
        <f>276.25-50</f>
        <v>226.25</v>
      </c>
      <c r="K17" s="845"/>
      <c r="L17" s="845">
        <f t="shared" si="4"/>
        <v>226.25</v>
      </c>
      <c r="M17" s="615">
        <v>0.1</v>
      </c>
      <c r="N17" s="848">
        <f t="shared" si="18"/>
        <v>22.625</v>
      </c>
      <c r="O17" s="416">
        <v>561</v>
      </c>
      <c r="P17" s="416"/>
      <c r="Q17" s="546">
        <f t="shared" si="5"/>
        <v>561</v>
      </c>
      <c r="R17" s="615">
        <v>0.319</v>
      </c>
      <c r="S17" s="850">
        <f t="shared" si="6"/>
        <v>178.959</v>
      </c>
      <c r="T17" s="851">
        <v>50</v>
      </c>
      <c r="U17" s="416"/>
      <c r="V17" s="416"/>
      <c r="W17" s="546">
        <f t="shared" si="7"/>
        <v>0</v>
      </c>
      <c r="X17" s="615">
        <v>0</v>
      </c>
      <c r="Y17" s="845">
        <f t="shared" si="8"/>
        <v>0</v>
      </c>
      <c r="Z17" s="852">
        <v>100</v>
      </c>
      <c r="AA17" s="838">
        <v>787.25</v>
      </c>
      <c r="AB17" s="838">
        <v>0</v>
      </c>
      <c r="AC17" s="838">
        <v>0</v>
      </c>
      <c r="AD17" s="555">
        <f t="shared" si="16"/>
        <v>787.25</v>
      </c>
      <c r="AE17" s="839">
        <v>0.88</v>
      </c>
      <c r="AF17" s="556">
        <f t="shared" si="1"/>
        <v>692.78</v>
      </c>
      <c r="AG17" s="556">
        <f t="shared" si="9"/>
        <v>692.78</v>
      </c>
      <c r="AH17" s="561">
        <f t="shared" si="17"/>
        <v>0.88</v>
      </c>
      <c r="AI17" s="555">
        <f t="shared" si="2"/>
        <v>169.2133658226133</v>
      </c>
      <c r="AJ17" s="556">
        <f t="shared" si="10"/>
        <v>169.2133658226133</v>
      </c>
      <c r="AK17" s="556"/>
      <c r="AL17" s="556"/>
      <c r="AM17" s="556"/>
      <c r="AN17" s="556">
        <f t="shared" si="11"/>
        <v>201.584</v>
      </c>
      <c r="AO17" s="840">
        <f t="shared" si="3"/>
        <v>150</v>
      </c>
      <c r="AP17" s="830">
        <v>200</v>
      </c>
      <c r="AQ17" s="416"/>
      <c r="AR17" s="841"/>
      <c r="AS17" s="599">
        <v>4</v>
      </c>
      <c r="AT17" s="599" t="s">
        <v>339</v>
      </c>
      <c r="AU17" s="621">
        <f>SUM(AA66:AB70)</f>
        <v>1830</v>
      </c>
      <c r="AV17" s="846">
        <f>SUM(AC66:AC70)</f>
        <v>0</v>
      </c>
      <c r="AW17" s="846">
        <f t="shared" si="12"/>
        <v>1830</v>
      </c>
      <c r="AX17" s="621">
        <f>SUM(AF66:AF70)</f>
        <v>488.25</v>
      </c>
      <c r="AY17" s="613">
        <f t="shared" si="13"/>
        <v>0.2668032786885246</v>
      </c>
      <c r="AZ17" s="1005">
        <f t="shared" si="14"/>
        <v>488.25</v>
      </c>
      <c r="BA17" s="613">
        <f t="shared" si="15"/>
        <v>0.2668032786885246</v>
      </c>
    </row>
    <row r="18" spans="1:53" ht="20.25">
      <c r="A18" s="921">
        <v>13</v>
      </c>
      <c r="B18" s="921" t="s">
        <v>262</v>
      </c>
      <c r="C18" s="843" t="s">
        <v>508</v>
      </c>
      <c r="D18" s="844">
        <v>0</v>
      </c>
      <c r="E18" s="841">
        <v>1353</v>
      </c>
      <c r="F18" s="844">
        <v>122.61</v>
      </c>
      <c r="G18" s="844">
        <v>0</v>
      </c>
      <c r="H18" s="844">
        <f>+F18-D18-O18-U18</f>
        <v>32.61</v>
      </c>
      <c r="I18" s="822" t="s">
        <v>207</v>
      </c>
      <c r="J18" s="847">
        <v>32.51</v>
      </c>
      <c r="K18" s="845"/>
      <c r="L18" s="845">
        <f t="shared" si="4"/>
        <v>32.51</v>
      </c>
      <c r="M18" s="615">
        <v>0.1</v>
      </c>
      <c r="N18" s="848">
        <f t="shared" si="18"/>
        <v>3.251</v>
      </c>
      <c r="O18" s="416">
        <v>90</v>
      </c>
      <c r="P18" s="416"/>
      <c r="Q18" s="546">
        <f t="shared" si="5"/>
        <v>90</v>
      </c>
      <c r="R18" s="615">
        <v>0.25</v>
      </c>
      <c r="S18" s="845">
        <f t="shared" si="6"/>
        <v>22.5</v>
      </c>
      <c r="T18" s="848"/>
      <c r="U18" s="416"/>
      <c r="V18" s="416"/>
      <c r="W18" s="546">
        <f t="shared" si="7"/>
        <v>0</v>
      </c>
      <c r="X18" s="615">
        <v>0</v>
      </c>
      <c r="Y18" s="845">
        <f t="shared" si="8"/>
        <v>0</v>
      </c>
      <c r="Z18" s="848"/>
      <c r="AA18" s="838">
        <v>122.51</v>
      </c>
      <c r="AB18" s="838">
        <v>0</v>
      </c>
      <c r="AC18" s="838"/>
      <c r="AD18" s="555">
        <f t="shared" si="16"/>
        <v>122.51</v>
      </c>
      <c r="AE18" s="839">
        <v>0.5</v>
      </c>
      <c r="AF18" s="556">
        <f t="shared" si="1"/>
        <v>61.255</v>
      </c>
      <c r="AG18" s="556">
        <f t="shared" si="9"/>
        <v>61.255</v>
      </c>
      <c r="AH18" s="561">
        <f t="shared" si="17"/>
        <v>0.5</v>
      </c>
      <c r="AI18" s="555">
        <f t="shared" si="2"/>
        <v>14.961697398112213</v>
      </c>
      <c r="AJ18" s="556">
        <f t="shared" si="10"/>
        <v>14.961697398112213</v>
      </c>
      <c r="AK18" s="556"/>
      <c r="AL18" s="556"/>
      <c r="AM18" s="556"/>
      <c r="AN18" s="556">
        <f t="shared" si="11"/>
        <v>25.751</v>
      </c>
      <c r="AO18" s="840">
        <f t="shared" si="3"/>
        <v>0</v>
      </c>
      <c r="AP18" s="830"/>
      <c r="AQ18" s="416"/>
      <c r="AR18" s="841"/>
      <c r="AS18" s="599">
        <v>5</v>
      </c>
      <c r="AT18" s="599" t="s">
        <v>340</v>
      </c>
      <c r="AU18" s="621">
        <f>SUM(AA71:AB77)</f>
        <v>753.1</v>
      </c>
      <c r="AV18" s="846">
        <f>SUM(AC71:AC77)</f>
        <v>0</v>
      </c>
      <c r="AW18" s="846">
        <f t="shared" si="12"/>
        <v>753.1</v>
      </c>
      <c r="AX18" s="621">
        <f>SUM(AF71:AF77)</f>
        <v>225.92999999999998</v>
      </c>
      <c r="AY18" s="613">
        <f t="shared" si="13"/>
        <v>0.3</v>
      </c>
      <c r="AZ18" s="1005">
        <f t="shared" si="14"/>
        <v>225.92999999999998</v>
      </c>
      <c r="BA18" s="613">
        <f t="shared" si="15"/>
        <v>0.3</v>
      </c>
    </row>
    <row r="19" spans="1:53" ht="20.25">
      <c r="A19" s="921">
        <v>13</v>
      </c>
      <c r="B19" s="921" t="s">
        <v>233</v>
      </c>
      <c r="C19" s="843" t="s">
        <v>509</v>
      </c>
      <c r="D19" s="844">
        <v>0</v>
      </c>
      <c r="E19" s="841">
        <v>1354</v>
      </c>
      <c r="F19" s="844">
        <v>106.07</v>
      </c>
      <c r="G19" s="844">
        <v>0</v>
      </c>
      <c r="H19" s="844"/>
      <c r="I19" s="822" t="s">
        <v>207</v>
      </c>
      <c r="J19" s="847"/>
      <c r="K19" s="845"/>
      <c r="L19" s="845">
        <f t="shared" si="4"/>
        <v>0</v>
      </c>
      <c r="M19" s="615"/>
      <c r="N19" s="848">
        <f t="shared" si="18"/>
        <v>0</v>
      </c>
      <c r="O19" s="416">
        <v>106</v>
      </c>
      <c r="P19" s="416"/>
      <c r="Q19" s="546">
        <f t="shared" si="5"/>
        <v>106</v>
      </c>
      <c r="R19" s="615">
        <v>0.25</v>
      </c>
      <c r="S19" s="845">
        <f t="shared" si="6"/>
        <v>26.5</v>
      </c>
      <c r="T19" s="848"/>
      <c r="U19" s="416"/>
      <c r="V19" s="416"/>
      <c r="W19" s="546">
        <f t="shared" si="7"/>
        <v>0</v>
      </c>
      <c r="X19" s="615">
        <v>0</v>
      </c>
      <c r="Y19" s="845">
        <f t="shared" si="8"/>
        <v>0</v>
      </c>
      <c r="Z19" s="848">
        <v>200</v>
      </c>
      <c r="AA19" s="838">
        <v>106</v>
      </c>
      <c r="AB19" s="838">
        <v>0</v>
      </c>
      <c r="AC19" s="838"/>
      <c r="AD19" s="555">
        <f t="shared" si="16"/>
        <v>106</v>
      </c>
      <c r="AE19" s="839">
        <v>0.75</v>
      </c>
      <c r="AF19" s="556">
        <f t="shared" si="1"/>
        <v>79.5</v>
      </c>
      <c r="AG19" s="556">
        <f t="shared" si="9"/>
        <v>79.5</v>
      </c>
      <c r="AH19" s="561">
        <f t="shared" si="17"/>
        <v>0.75</v>
      </c>
      <c r="AI19" s="555">
        <f t="shared" si="2"/>
        <v>19.418087391232074</v>
      </c>
      <c r="AJ19" s="556">
        <f t="shared" si="10"/>
        <v>19.418087391232074</v>
      </c>
      <c r="AK19" s="556"/>
      <c r="AL19" s="556"/>
      <c r="AM19" s="556"/>
      <c r="AN19" s="556">
        <f t="shared" si="11"/>
        <v>26.5</v>
      </c>
      <c r="AO19" s="840">
        <f t="shared" si="3"/>
        <v>200</v>
      </c>
      <c r="AP19" s="830"/>
      <c r="AQ19" s="416"/>
      <c r="AR19" s="841"/>
      <c r="AS19" s="599">
        <v>6</v>
      </c>
      <c r="AT19" s="599" t="s">
        <v>341</v>
      </c>
      <c r="AU19" s="621">
        <f>SUM(AA78:AB82)</f>
        <v>576</v>
      </c>
      <c r="AV19" s="846">
        <f>SUM(AC78:AC82)</f>
        <v>50</v>
      </c>
      <c r="AW19" s="846">
        <f t="shared" si="12"/>
        <v>626</v>
      </c>
      <c r="AX19" s="621">
        <f>SUM(AF78:AF82)</f>
        <v>704.2</v>
      </c>
      <c r="AY19" s="613">
        <f t="shared" si="13"/>
        <v>1.1249201277955272</v>
      </c>
      <c r="AZ19" s="1005">
        <f t="shared" si="14"/>
        <v>754.2</v>
      </c>
      <c r="BA19" s="613">
        <f t="shared" si="15"/>
        <v>1.3093750000000002</v>
      </c>
    </row>
    <row r="20" spans="1:53" ht="20.25">
      <c r="A20" s="921">
        <v>13</v>
      </c>
      <c r="B20" s="921" t="s">
        <v>263</v>
      </c>
      <c r="C20" s="843" t="s">
        <v>510</v>
      </c>
      <c r="D20" s="844">
        <v>0</v>
      </c>
      <c r="E20" s="841">
        <v>1355</v>
      </c>
      <c r="F20" s="844">
        <v>93.42</v>
      </c>
      <c r="G20" s="844">
        <v>0</v>
      </c>
      <c r="H20" s="844"/>
      <c r="I20" s="822" t="s">
        <v>207</v>
      </c>
      <c r="J20" s="847"/>
      <c r="K20" s="845"/>
      <c r="L20" s="845">
        <f t="shared" si="4"/>
        <v>0</v>
      </c>
      <c r="M20" s="615"/>
      <c r="N20" s="848">
        <f t="shared" si="18"/>
        <v>0</v>
      </c>
      <c r="O20" s="416">
        <v>93</v>
      </c>
      <c r="P20" s="416"/>
      <c r="Q20" s="546">
        <f t="shared" si="5"/>
        <v>93</v>
      </c>
      <c r="R20" s="615">
        <v>0.25</v>
      </c>
      <c r="S20" s="845">
        <f t="shared" si="6"/>
        <v>23.25</v>
      </c>
      <c r="T20" s="848"/>
      <c r="U20" s="416"/>
      <c r="V20" s="416"/>
      <c r="W20" s="546">
        <f t="shared" si="7"/>
        <v>0</v>
      </c>
      <c r="X20" s="615">
        <v>0</v>
      </c>
      <c r="Y20" s="845">
        <f t="shared" si="8"/>
        <v>0</v>
      </c>
      <c r="Z20" s="848"/>
      <c r="AA20" s="838">
        <v>93</v>
      </c>
      <c r="AB20" s="838">
        <v>0</v>
      </c>
      <c r="AC20" s="838"/>
      <c r="AD20" s="555">
        <f t="shared" si="16"/>
        <v>93</v>
      </c>
      <c r="AE20" s="839">
        <v>0.3</v>
      </c>
      <c r="AF20" s="556">
        <f t="shared" si="1"/>
        <v>27.9</v>
      </c>
      <c r="AG20" s="556">
        <f t="shared" si="9"/>
        <v>27.9</v>
      </c>
      <c r="AH20" s="561">
        <f t="shared" si="17"/>
        <v>0.3</v>
      </c>
      <c r="AI20" s="555">
        <f t="shared" si="2"/>
        <v>6.814649537300313</v>
      </c>
      <c r="AJ20" s="556">
        <f t="shared" si="10"/>
        <v>6.814649537300313</v>
      </c>
      <c r="AK20" s="556"/>
      <c r="AL20" s="556"/>
      <c r="AM20" s="556"/>
      <c r="AN20" s="556">
        <f t="shared" si="11"/>
        <v>23.25</v>
      </c>
      <c r="AO20" s="840">
        <f t="shared" si="3"/>
        <v>0</v>
      </c>
      <c r="AP20" s="830"/>
      <c r="AQ20" s="416"/>
      <c r="AR20" s="841"/>
      <c r="AS20" s="599">
        <v>7</v>
      </c>
      <c r="AT20" s="599" t="s">
        <v>342</v>
      </c>
      <c r="AU20" s="621">
        <f>SUM(AA83:AB88)</f>
        <v>2875.0559359999997</v>
      </c>
      <c r="AV20" s="846">
        <f>SUM(AC83:AC88)</f>
        <v>0</v>
      </c>
      <c r="AW20" s="846">
        <f t="shared" si="12"/>
        <v>2875.0559359999997</v>
      </c>
      <c r="AX20" s="621">
        <f>SUM(AF83:AF88)</f>
        <v>1758.088984</v>
      </c>
      <c r="AY20" s="613">
        <f t="shared" si="13"/>
        <v>0.6114973145343354</v>
      </c>
      <c r="AZ20" s="1005">
        <f t="shared" si="14"/>
        <v>1758.088984</v>
      </c>
      <c r="BA20" s="613">
        <f t="shared" si="15"/>
        <v>0.6114973145343354</v>
      </c>
    </row>
    <row r="21" spans="1:53" ht="21" thickBot="1">
      <c r="A21" s="921">
        <v>13</v>
      </c>
      <c r="B21" s="921" t="s">
        <v>259</v>
      </c>
      <c r="C21" s="843" t="s">
        <v>511</v>
      </c>
      <c r="D21" s="844">
        <v>923.410974</v>
      </c>
      <c r="E21" s="841">
        <v>1361</v>
      </c>
      <c r="F21" s="844">
        <v>2044.97</v>
      </c>
      <c r="G21" s="844">
        <v>841</v>
      </c>
      <c r="H21" s="844">
        <f>+F21-D21-O21-U21</f>
        <v>874.5590259999999</v>
      </c>
      <c r="I21" s="822" t="s">
        <v>207</v>
      </c>
      <c r="J21" s="847">
        <v>873.6590259999999</v>
      </c>
      <c r="K21" s="845"/>
      <c r="L21" s="845">
        <f t="shared" si="4"/>
        <v>873.6590259999999</v>
      </c>
      <c r="M21" s="615">
        <v>0.1</v>
      </c>
      <c r="N21" s="848">
        <f t="shared" si="18"/>
        <v>87.3659026</v>
      </c>
      <c r="O21" s="416">
        <v>247</v>
      </c>
      <c r="P21" s="416"/>
      <c r="Q21" s="546">
        <f t="shared" si="5"/>
        <v>247</v>
      </c>
      <c r="R21" s="615">
        <v>0.1</v>
      </c>
      <c r="S21" s="845">
        <f t="shared" si="6"/>
        <v>24.700000000000003</v>
      </c>
      <c r="T21" s="848"/>
      <c r="U21" s="416"/>
      <c r="V21" s="416"/>
      <c r="W21" s="546">
        <f t="shared" si="7"/>
        <v>0</v>
      </c>
      <c r="X21" s="615">
        <v>0</v>
      </c>
      <c r="Y21" s="845">
        <f t="shared" si="8"/>
        <v>0</v>
      </c>
      <c r="Z21" s="848">
        <v>50</v>
      </c>
      <c r="AA21" s="838">
        <v>1120.6590259999998</v>
      </c>
      <c r="AB21" s="838">
        <v>0</v>
      </c>
      <c r="AC21" s="838"/>
      <c r="AD21" s="555">
        <f t="shared" si="16"/>
        <v>1120.6590259999998</v>
      </c>
      <c r="AE21" s="839">
        <v>0.1</v>
      </c>
      <c r="AF21" s="556">
        <f t="shared" si="1"/>
        <v>112.06590259999999</v>
      </c>
      <c r="AG21" s="556">
        <f t="shared" si="9"/>
        <v>112.06590259999999</v>
      </c>
      <c r="AH21" s="561">
        <f t="shared" si="17"/>
        <v>0.1</v>
      </c>
      <c r="AI21" s="555">
        <f t="shared" si="2"/>
        <v>27.372396103950965</v>
      </c>
      <c r="AJ21" s="556">
        <f t="shared" si="10"/>
        <v>27.372396103950965</v>
      </c>
      <c r="AK21" s="556"/>
      <c r="AL21" s="556"/>
      <c r="AM21" s="556"/>
      <c r="AN21" s="556">
        <f t="shared" si="11"/>
        <v>112.0659026</v>
      </c>
      <c r="AO21" s="840">
        <f t="shared" si="3"/>
        <v>50</v>
      </c>
      <c r="AP21" s="830"/>
      <c r="AQ21" s="416"/>
      <c r="AR21" s="841"/>
      <c r="AS21" s="599">
        <v>8</v>
      </c>
      <c r="AT21" s="599" t="s">
        <v>343</v>
      </c>
      <c r="AU21" s="625">
        <f>SUM(AA89:AB98)</f>
        <v>3237.81033902839</v>
      </c>
      <c r="AV21" s="853">
        <f>SUM(AC89:AC98)</f>
        <v>690</v>
      </c>
      <c r="AW21" s="853">
        <f t="shared" si="12"/>
        <v>3927.81033902839</v>
      </c>
      <c r="AX21" s="625">
        <f>SUM(AF89:AF98)</f>
        <v>1955.662936241839</v>
      </c>
      <c r="AY21" s="854">
        <f t="shared" si="13"/>
        <v>0.49790157045250943</v>
      </c>
      <c r="AZ21" s="1007">
        <f t="shared" si="14"/>
        <v>2645.662936241839</v>
      </c>
      <c r="BA21" s="1008">
        <f>+AZ21/AU21</f>
        <v>0.817114858258114</v>
      </c>
    </row>
    <row r="22" spans="1:53" ht="21" thickTop="1">
      <c r="A22" s="921">
        <v>14</v>
      </c>
      <c r="B22" s="921" t="s">
        <v>264</v>
      </c>
      <c r="C22" s="843" t="s">
        <v>512</v>
      </c>
      <c r="D22" s="844">
        <v>304.04</v>
      </c>
      <c r="E22" s="841">
        <v>1401</v>
      </c>
      <c r="F22" s="844">
        <v>304.05</v>
      </c>
      <c r="G22" s="844">
        <v>304</v>
      </c>
      <c r="H22" s="844"/>
      <c r="I22" s="822" t="s">
        <v>207</v>
      </c>
      <c r="J22" s="836"/>
      <c r="L22" s="845">
        <f t="shared" si="4"/>
        <v>0</v>
      </c>
      <c r="N22" s="837">
        <f t="shared" si="18"/>
        <v>0</v>
      </c>
      <c r="O22" s="416"/>
      <c r="P22" s="416"/>
      <c r="Q22" s="546">
        <f t="shared" si="5"/>
        <v>0</v>
      </c>
      <c r="S22" s="546">
        <f t="shared" si="6"/>
        <v>0</v>
      </c>
      <c r="T22" s="837"/>
      <c r="U22" s="416"/>
      <c r="V22" s="416"/>
      <c r="W22" s="546">
        <f t="shared" si="7"/>
        <v>0</v>
      </c>
      <c r="Y22" s="546">
        <f t="shared" si="8"/>
        <v>0</v>
      </c>
      <c r="Z22" s="837"/>
      <c r="AA22" s="838"/>
      <c r="AB22" s="838"/>
      <c r="AC22" s="838"/>
      <c r="AD22" s="555"/>
      <c r="AE22" s="839"/>
      <c r="AF22" s="556">
        <f t="shared" si="1"/>
        <v>0</v>
      </c>
      <c r="AG22" s="556">
        <f t="shared" si="9"/>
        <v>0</v>
      </c>
      <c r="AH22" s="561"/>
      <c r="AI22" s="555">
        <f t="shared" si="2"/>
        <v>0</v>
      </c>
      <c r="AJ22" s="556">
        <f t="shared" si="10"/>
        <v>0</v>
      </c>
      <c r="AK22" s="556"/>
      <c r="AL22" s="556"/>
      <c r="AM22" s="556"/>
      <c r="AN22" s="556">
        <f t="shared" si="11"/>
        <v>0</v>
      </c>
      <c r="AO22" s="840">
        <f t="shared" si="3"/>
        <v>0</v>
      </c>
      <c r="AP22" s="830"/>
      <c r="AQ22" s="416"/>
      <c r="AR22" s="841"/>
      <c r="AS22" s="599"/>
      <c r="AT22" s="599"/>
      <c r="AU22" s="621">
        <f>SUM(AU14:AU21)</f>
        <v>27068.31509521742</v>
      </c>
      <c r="AV22" s="846">
        <f>SUM(AV14:AV21)</f>
        <v>990</v>
      </c>
      <c r="AW22" s="846">
        <f t="shared" si="12"/>
        <v>28058.31509521742</v>
      </c>
      <c r="AX22" s="621">
        <f>SUM(AX14:AX21)</f>
        <v>16373.965167620181</v>
      </c>
      <c r="AY22" s="613">
        <f t="shared" si="13"/>
        <v>0.5835690814667324</v>
      </c>
      <c r="AZ22" s="1005">
        <f>SUM(AZ14:AZ21)</f>
        <v>17363.965167620183</v>
      </c>
      <c r="BA22" s="1009">
        <f t="shared" si="15"/>
        <v>0.6414867385184291</v>
      </c>
    </row>
    <row r="23" spans="1:53" ht="20.25">
      <c r="A23" s="921">
        <v>14</v>
      </c>
      <c r="B23" s="921" t="s">
        <v>265</v>
      </c>
      <c r="C23" s="843" t="s">
        <v>513</v>
      </c>
      <c r="D23" s="844">
        <v>239.14</v>
      </c>
      <c r="E23" s="841">
        <v>1402</v>
      </c>
      <c r="F23" s="844">
        <v>239.12</v>
      </c>
      <c r="G23" s="844">
        <v>239</v>
      </c>
      <c r="H23" s="844"/>
      <c r="I23" s="822" t="s">
        <v>207</v>
      </c>
      <c r="J23" s="836"/>
      <c r="L23" s="845">
        <f t="shared" si="4"/>
        <v>0</v>
      </c>
      <c r="N23" s="837">
        <f t="shared" si="18"/>
        <v>0</v>
      </c>
      <c r="O23" s="416"/>
      <c r="P23" s="416"/>
      <c r="Q23" s="546">
        <f t="shared" si="5"/>
        <v>0</v>
      </c>
      <c r="S23" s="546">
        <f t="shared" si="6"/>
        <v>0</v>
      </c>
      <c r="T23" s="837"/>
      <c r="U23" s="416"/>
      <c r="V23" s="416"/>
      <c r="W23" s="546">
        <f t="shared" si="7"/>
        <v>0</v>
      </c>
      <c r="Y23" s="546">
        <f t="shared" si="8"/>
        <v>0</v>
      </c>
      <c r="Z23" s="837"/>
      <c r="AA23" s="838"/>
      <c r="AB23" s="838"/>
      <c r="AC23" s="838"/>
      <c r="AD23" s="555"/>
      <c r="AE23" s="839"/>
      <c r="AF23" s="556">
        <f t="shared" si="1"/>
        <v>0</v>
      </c>
      <c r="AG23" s="556">
        <f t="shared" si="9"/>
        <v>0</v>
      </c>
      <c r="AH23" s="561"/>
      <c r="AI23" s="555">
        <f t="shared" si="2"/>
        <v>0</v>
      </c>
      <c r="AJ23" s="556">
        <f t="shared" si="10"/>
        <v>0</v>
      </c>
      <c r="AK23" s="556"/>
      <c r="AL23" s="556"/>
      <c r="AM23" s="556"/>
      <c r="AN23" s="556">
        <f t="shared" si="11"/>
        <v>0</v>
      </c>
      <c r="AO23" s="840">
        <f t="shared" si="3"/>
        <v>0</v>
      </c>
      <c r="AP23" s="830"/>
      <c r="AQ23" s="416"/>
      <c r="AR23" s="841"/>
      <c r="AS23" s="599"/>
      <c r="AT23" s="599"/>
      <c r="AU23" s="621"/>
      <c r="AV23" s="846"/>
      <c r="AW23" s="846"/>
      <c r="AX23" s="621"/>
      <c r="AY23" s="624"/>
      <c r="AZ23" s="621"/>
      <c r="BA23" s="624"/>
    </row>
    <row r="24" spans="1:53" ht="23.25">
      <c r="A24" s="921">
        <v>14</v>
      </c>
      <c r="B24" s="921" t="s">
        <v>234</v>
      </c>
      <c r="C24" s="843" t="s">
        <v>514</v>
      </c>
      <c r="D24" s="844">
        <v>3310.5695</v>
      </c>
      <c r="E24" s="841">
        <v>1403</v>
      </c>
      <c r="F24" s="844">
        <v>3310.02</v>
      </c>
      <c r="G24" s="844">
        <v>3310</v>
      </c>
      <c r="H24" s="844"/>
      <c r="I24" s="822" t="s">
        <v>207</v>
      </c>
      <c r="J24" s="836"/>
      <c r="L24" s="845">
        <f t="shared" si="4"/>
        <v>0</v>
      </c>
      <c r="N24" s="837">
        <f t="shared" si="18"/>
        <v>0</v>
      </c>
      <c r="O24" s="416"/>
      <c r="P24" s="416"/>
      <c r="Q24" s="546">
        <f t="shared" si="5"/>
        <v>0</v>
      </c>
      <c r="S24" s="546">
        <f t="shared" si="6"/>
        <v>0</v>
      </c>
      <c r="T24" s="837"/>
      <c r="U24" s="416"/>
      <c r="V24" s="416"/>
      <c r="W24" s="546">
        <f t="shared" si="7"/>
        <v>0</v>
      </c>
      <c r="Y24" s="546">
        <f t="shared" si="8"/>
        <v>0</v>
      </c>
      <c r="Z24" s="837"/>
      <c r="AA24" s="838"/>
      <c r="AB24" s="838"/>
      <c r="AC24" s="838"/>
      <c r="AD24" s="555"/>
      <c r="AE24" s="839"/>
      <c r="AF24" s="556">
        <f t="shared" si="1"/>
        <v>0</v>
      </c>
      <c r="AG24" s="556">
        <f t="shared" si="9"/>
        <v>0</v>
      </c>
      <c r="AH24" s="561"/>
      <c r="AI24" s="555">
        <f t="shared" si="2"/>
        <v>0</v>
      </c>
      <c r="AJ24" s="556">
        <f t="shared" si="10"/>
        <v>0</v>
      </c>
      <c r="AK24" s="556"/>
      <c r="AL24" s="556"/>
      <c r="AM24" s="556"/>
      <c r="AN24" s="556">
        <f t="shared" si="11"/>
        <v>0</v>
      </c>
      <c r="AO24" s="840">
        <f t="shared" si="3"/>
        <v>0</v>
      </c>
      <c r="AP24" s="830"/>
      <c r="AQ24" s="416"/>
      <c r="AR24" s="841"/>
      <c r="AZ24" s="635" t="s">
        <v>673</v>
      </c>
      <c r="BA24" s="636">
        <v>60269</v>
      </c>
    </row>
    <row r="25" spans="1:53" ht="23.25">
      <c r="A25" s="921">
        <v>14</v>
      </c>
      <c r="B25" s="921" t="s">
        <v>314</v>
      </c>
      <c r="C25" s="843" t="s">
        <v>515</v>
      </c>
      <c r="D25" s="844">
        <v>2543.51806</v>
      </c>
      <c r="E25" s="841">
        <v>1404</v>
      </c>
      <c r="F25" s="844">
        <v>2544</v>
      </c>
      <c r="G25" s="844">
        <v>2554</v>
      </c>
      <c r="H25" s="844"/>
      <c r="I25" s="822" t="s">
        <v>207</v>
      </c>
      <c r="J25" s="836"/>
      <c r="L25" s="845">
        <f t="shared" si="4"/>
        <v>0</v>
      </c>
      <c r="N25" s="837">
        <f t="shared" si="18"/>
        <v>0</v>
      </c>
      <c r="O25" s="416"/>
      <c r="P25" s="416"/>
      <c r="Q25" s="546">
        <f t="shared" si="5"/>
        <v>0</v>
      </c>
      <c r="S25" s="546">
        <f t="shared" si="6"/>
        <v>0</v>
      </c>
      <c r="T25" s="837"/>
      <c r="U25" s="416"/>
      <c r="V25" s="416"/>
      <c r="W25" s="546">
        <f t="shared" si="7"/>
        <v>0</v>
      </c>
      <c r="Y25" s="546">
        <f t="shared" si="8"/>
        <v>0</v>
      </c>
      <c r="Z25" s="837"/>
      <c r="AA25" s="838"/>
      <c r="AB25" s="838"/>
      <c r="AC25" s="838"/>
      <c r="AD25" s="555"/>
      <c r="AE25" s="839"/>
      <c r="AF25" s="556">
        <f t="shared" si="1"/>
        <v>0</v>
      </c>
      <c r="AG25" s="556">
        <f t="shared" si="9"/>
        <v>0</v>
      </c>
      <c r="AH25" s="561"/>
      <c r="AI25" s="555">
        <f t="shared" si="2"/>
        <v>0</v>
      </c>
      <c r="AJ25" s="556">
        <f t="shared" si="10"/>
        <v>0</v>
      </c>
      <c r="AK25" s="556"/>
      <c r="AL25" s="556"/>
      <c r="AM25" s="556"/>
      <c r="AN25" s="556">
        <f t="shared" si="11"/>
        <v>0</v>
      </c>
      <c r="AO25" s="840">
        <f t="shared" si="3"/>
        <v>0</v>
      </c>
      <c r="AP25" s="830"/>
      <c r="AQ25" s="416"/>
      <c r="AR25" s="841"/>
      <c r="AZ25" s="635" t="s">
        <v>674</v>
      </c>
      <c r="BA25" s="636">
        <f>+AU22</f>
        <v>27068.31509521742</v>
      </c>
    </row>
    <row r="26" spans="1:54" ht="23.25">
      <c r="A26" s="921">
        <v>14</v>
      </c>
      <c r="B26" s="921" t="s">
        <v>267</v>
      </c>
      <c r="C26" s="843" t="s">
        <v>516</v>
      </c>
      <c r="D26" s="844">
        <v>168.07</v>
      </c>
      <c r="E26" s="841">
        <v>1405</v>
      </c>
      <c r="F26" s="844">
        <v>168.07</v>
      </c>
      <c r="G26" s="844">
        <v>168</v>
      </c>
      <c r="H26" s="844">
        <f>+F26-D26-O26-U26</f>
        <v>0</v>
      </c>
      <c r="I26" s="822" t="s">
        <v>207</v>
      </c>
      <c r="J26" s="836">
        <v>0</v>
      </c>
      <c r="L26" s="845">
        <f t="shared" si="4"/>
        <v>0</v>
      </c>
      <c r="N26" s="837">
        <f t="shared" si="18"/>
        <v>0</v>
      </c>
      <c r="O26" s="416"/>
      <c r="P26" s="416"/>
      <c r="Q26" s="546">
        <f t="shared" si="5"/>
        <v>0</v>
      </c>
      <c r="S26" s="546">
        <f t="shared" si="6"/>
        <v>0</v>
      </c>
      <c r="T26" s="837"/>
      <c r="U26" s="416"/>
      <c r="V26" s="416"/>
      <c r="W26" s="546">
        <f t="shared" si="7"/>
        <v>0</v>
      </c>
      <c r="Y26" s="546">
        <f t="shared" si="8"/>
        <v>0</v>
      </c>
      <c r="Z26" s="837"/>
      <c r="AA26" s="838"/>
      <c r="AB26" s="838"/>
      <c r="AC26" s="838"/>
      <c r="AD26" s="555"/>
      <c r="AE26" s="839"/>
      <c r="AF26" s="556">
        <f t="shared" si="1"/>
        <v>0</v>
      </c>
      <c r="AG26" s="556">
        <f t="shared" si="9"/>
        <v>0</v>
      </c>
      <c r="AH26" s="561"/>
      <c r="AI26" s="555">
        <f t="shared" si="2"/>
        <v>0</v>
      </c>
      <c r="AJ26" s="556">
        <f t="shared" si="10"/>
        <v>0</v>
      </c>
      <c r="AK26" s="556"/>
      <c r="AL26" s="556"/>
      <c r="AM26" s="556"/>
      <c r="AN26" s="556">
        <f t="shared" si="11"/>
        <v>0</v>
      </c>
      <c r="AO26" s="840">
        <f t="shared" si="3"/>
        <v>0</v>
      </c>
      <c r="AP26" s="830"/>
      <c r="AQ26" s="416"/>
      <c r="AR26" s="841"/>
      <c r="AZ26" s="635" t="s">
        <v>678</v>
      </c>
      <c r="BA26" s="636">
        <f>+AZ22</f>
        <v>17363.965167620183</v>
      </c>
      <c r="BB26" s="637">
        <f>+BA26/BA25</f>
        <v>0.6414867385184291</v>
      </c>
    </row>
    <row r="27" spans="1:53" ht="24" thickBot="1">
      <c r="A27" s="921">
        <v>14</v>
      </c>
      <c r="B27" s="921" t="s">
        <v>269</v>
      </c>
      <c r="C27" s="843" t="s">
        <v>517</v>
      </c>
      <c r="D27" s="844">
        <v>2263.5684100000003</v>
      </c>
      <c r="E27" s="841">
        <v>1406</v>
      </c>
      <c r="F27" s="844">
        <v>2262.96</v>
      </c>
      <c r="G27" s="844">
        <v>2263</v>
      </c>
      <c r="H27" s="844"/>
      <c r="I27" s="822" t="s">
        <v>207</v>
      </c>
      <c r="J27" s="836"/>
      <c r="L27" s="845">
        <f t="shared" si="4"/>
        <v>0</v>
      </c>
      <c r="N27" s="837">
        <f t="shared" si="18"/>
        <v>0</v>
      </c>
      <c r="O27" s="416"/>
      <c r="P27" s="416"/>
      <c r="Q27" s="546">
        <f t="shared" si="5"/>
        <v>0</v>
      </c>
      <c r="S27" s="546">
        <f t="shared" si="6"/>
        <v>0</v>
      </c>
      <c r="T27" s="837"/>
      <c r="U27" s="416"/>
      <c r="V27" s="416"/>
      <c r="W27" s="546">
        <f t="shared" si="7"/>
        <v>0</v>
      </c>
      <c r="Y27" s="546">
        <f t="shared" si="8"/>
        <v>0</v>
      </c>
      <c r="Z27" s="837"/>
      <c r="AA27" s="838"/>
      <c r="AB27" s="838"/>
      <c r="AC27" s="838"/>
      <c r="AD27" s="555"/>
      <c r="AE27" s="839"/>
      <c r="AF27" s="556">
        <f t="shared" si="1"/>
        <v>0</v>
      </c>
      <c r="AG27" s="556">
        <f t="shared" si="9"/>
        <v>0</v>
      </c>
      <c r="AH27" s="561"/>
      <c r="AI27" s="555">
        <f t="shared" si="2"/>
        <v>0</v>
      </c>
      <c r="AJ27" s="556">
        <f t="shared" si="10"/>
        <v>0</v>
      </c>
      <c r="AK27" s="556"/>
      <c r="AL27" s="556"/>
      <c r="AM27" s="556"/>
      <c r="AN27" s="556">
        <f t="shared" si="11"/>
        <v>0</v>
      </c>
      <c r="AO27" s="840">
        <f t="shared" si="3"/>
        <v>0</v>
      </c>
      <c r="AP27" s="830"/>
      <c r="AQ27" s="416"/>
      <c r="AR27" s="841"/>
      <c r="AZ27" s="635" t="s">
        <v>675</v>
      </c>
      <c r="BA27" s="638">
        <v>75</v>
      </c>
    </row>
    <row r="28" spans="1:53" ht="24" thickTop="1">
      <c r="A28" s="921">
        <v>14</v>
      </c>
      <c r="B28" s="921" t="s">
        <v>268</v>
      </c>
      <c r="C28" s="843" t="s">
        <v>518</v>
      </c>
      <c r="D28" s="844">
        <v>2571.37312</v>
      </c>
      <c r="E28" s="841">
        <v>1407</v>
      </c>
      <c r="F28" s="844">
        <v>2570.78</v>
      </c>
      <c r="G28" s="844">
        <v>2570</v>
      </c>
      <c r="H28" s="844"/>
      <c r="I28" s="822" t="s">
        <v>207</v>
      </c>
      <c r="J28" s="836"/>
      <c r="L28" s="845">
        <f t="shared" si="4"/>
        <v>0</v>
      </c>
      <c r="N28" s="837">
        <f t="shared" si="18"/>
        <v>0</v>
      </c>
      <c r="O28" s="416"/>
      <c r="P28" s="416"/>
      <c r="Q28" s="546">
        <f t="shared" si="5"/>
        <v>0</v>
      </c>
      <c r="S28" s="546">
        <f t="shared" si="6"/>
        <v>0</v>
      </c>
      <c r="T28" s="837"/>
      <c r="U28" s="416"/>
      <c r="V28" s="416"/>
      <c r="W28" s="546">
        <f t="shared" si="7"/>
        <v>0</v>
      </c>
      <c r="Y28" s="546">
        <f t="shared" si="8"/>
        <v>0</v>
      </c>
      <c r="Z28" s="837"/>
      <c r="AA28" s="838"/>
      <c r="AB28" s="838"/>
      <c r="AC28" s="838"/>
      <c r="AD28" s="555"/>
      <c r="AE28" s="839"/>
      <c r="AF28" s="556">
        <f t="shared" si="1"/>
        <v>0</v>
      </c>
      <c r="AG28" s="556">
        <f t="shared" si="9"/>
        <v>0</v>
      </c>
      <c r="AH28" s="561"/>
      <c r="AI28" s="555">
        <f t="shared" si="2"/>
        <v>0</v>
      </c>
      <c r="AJ28" s="556">
        <f t="shared" si="10"/>
        <v>0</v>
      </c>
      <c r="AK28" s="556"/>
      <c r="AL28" s="556"/>
      <c r="AM28" s="556"/>
      <c r="AN28" s="556">
        <f t="shared" si="11"/>
        <v>0</v>
      </c>
      <c r="AO28" s="840">
        <f t="shared" si="3"/>
        <v>0</v>
      </c>
      <c r="AP28" s="830"/>
      <c r="AQ28" s="416"/>
      <c r="AR28" s="841"/>
      <c r="AZ28" s="635" t="s">
        <v>106</v>
      </c>
      <c r="BA28" s="636">
        <f>SUM(BA24:BA27)</f>
        <v>104776.2802628376</v>
      </c>
    </row>
    <row r="29" spans="1:44" ht="20.25">
      <c r="A29" s="921">
        <v>14</v>
      </c>
      <c r="B29" s="921" t="s">
        <v>315</v>
      </c>
      <c r="C29" s="843" t="s">
        <v>519</v>
      </c>
      <c r="D29" s="844">
        <v>1724.920029864854</v>
      </c>
      <c r="E29" s="841">
        <v>1408</v>
      </c>
      <c r="F29" s="844">
        <v>1952.63</v>
      </c>
      <c r="G29" s="844">
        <v>1957</v>
      </c>
      <c r="H29" s="844">
        <f>+F29-D29-O29-U29</f>
        <v>223.70997013514602</v>
      </c>
      <c r="I29" s="822" t="s">
        <v>207</v>
      </c>
      <c r="J29" s="847">
        <v>223.50997013514603</v>
      </c>
      <c r="K29" s="845"/>
      <c r="L29" s="845">
        <f t="shared" si="4"/>
        <v>223.50997013514603</v>
      </c>
      <c r="M29" s="615">
        <v>0.15</v>
      </c>
      <c r="N29" s="848">
        <f t="shared" si="18"/>
        <v>33.5264955202719</v>
      </c>
      <c r="O29" s="416">
        <v>4</v>
      </c>
      <c r="P29" s="416"/>
      <c r="Q29" s="546">
        <f t="shared" si="5"/>
        <v>4</v>
      </c>
      <c r="R29" s="615">
        <v>0.15</v>
      </c>
      <c r="S29" s="845">
        <f t="shared" si="6"/>
        <v>0.6</v>
      </c>
      <c r="T29" s="848"/>
      <c r="U29" s="416"/>
      <c r="V29" s="416"/>
      <c r="W29" s="546">
        <f t="shared" si="7"/>
        <v>0</v>
      </c>
      <c r="X29" s="615">
        <v>0</v>
      </c>
      <c r="Y29" s="845">
        <f t="shared" si="8"/>
        <v>0</v>
      </c>
      <c r="Z29" s="848"/>
      <c r="AA29" s="838">
        <v>227.50997013514603</v>
      </c>
      <c r="AB29" s="838">
        <v>0</v>
      </c>
      <c r="AC29" s="838"/>
      <c r="AD29" s="555">
        <f t="shared" si="16"/>
        <v>227.50997013514603</v>
      </c>
      <c r="AE29" s="839">
        <v>0.25</v>
      </c>
      <c r="AF29" s="556">
        <f t="shared" si="1"/>
        <v>56.87749253378651</v>
      </c>
      <c r="AG29" s="556">
        <f t="shared" si="9"/>
        <v>56.87749253378651</v>
      </c>
      <c r="AH29" s="561">
        <f t="shared" si="17"/>
        <v>0.25</v>
      </c>
      <c r="AI29" s="555">
        <f t="shared" si="2"/>
        <v>13.892479504593917</v>
      </c>
      <c r="AJ29" s="556">
        <f t="shared" si="10"/>
        <v>13.892479504593917</v>
      </c>
      <c r="AK29" s="556"/>
      <c r="AL29" s="556"/>
      <c r="AM29" s="556"/>
      <c r="AN29" s="556">
        <f t="shared" si="11"/>
        <v>34.1264955202719</v>
      </c>
      <c r="AO29" s="840">
        <f t="shared" si="3"/>
        <v>0</v>
      </c>
      <c r="AP29" s="830"/>
      <c r="AQ29" s="416"/>
      <c r="AR29" s="841"/>
    </row>
    <row r="30" spans="1:44" ht="20.25">
      <c r="A30" s="921">
        <v>14</v>
      </c>
      <c r="B30" s="921" t="s">
        <v>235</v>
      </c>
      <c r="C30" s="843" t="s">
        <v>520</v>
      </c>
      <c r="D30" s="844">
        <v>825.94131</v>
      </c>
      <c r="E30" s="841">
        <v>1409</v>
      </c>
      <c r="F30" s="844">
        <v>825.96</v>
      </c>
      <c r="G30" s="844">
        <v>833</v>
      </c>
      <c r="H30" s="844"/>
      <c r="I30" s="822" t="s">
        <v>207</v>
      </c>
      <c r="J30" s="836"/>
      <c r="L30" s="845">
        <f t="shared" si="4"/>
        <v>0</v>
      </c>
      <c r="N30" s="837">
        <f t="shared" si="18"/>
        <v>0</v>
      </c>
      <c r="O30" s="416"/>
      <c r="P30" s="416"/>
      <c r="Q30" s="546">
        <f t="shared" si="5"/>
        <v>0</v>
      </c>
      <c r="S30" s="546">
        <f t="shared" si="6"/>
        <v>0</v>
      </c>
      <c r="T30" s="837"/>
      <c r="U30" s="416"/>
      <c r="V30" s="416"/>
      <c r="W30" s="546">
        <f t="shared" si="7"/>
        <v>0</v>
      </c>
      <c r="Y30" s="546">
        <f t="shared" si="8"/>
        <v>0</v>
      </c>
      <c r="Z30" s="837"/>
      <c r="AA30" s="838"/>
      <c r="AB30" s="838"/>
      <c r="AC30" s="838"/>
      <c r="AD30" s="555"/>
      <c r="AE30" s="839"/>
      <c r="AF30" s="556">
        <f t="shared" si="1"/>
        <v>0</v>
      </c>
      <c r="AG30" s="556">
        <f t="shared" si="9"/>
        <v>0</v>
      </c>
      <c r="AH30" s="561"/>
      <c r="AI30" s="555">
        <f t="shared" si="2"/>
        <v>0</v>
      </c>
      <c r="AJ30" s="556">
        <f t="shared" si="10"/>
        <v>0</v>
      </c>
      <c r="AK30" s="556"/>
      <c r="AL30" s="556"/>
      <c r="AM30" s="556"/>
      <c r="AN30" s="556">
        <f t="shared" si="11"/>
        <v>0</v>
      </c>
      <c r="AO30" s="840">
        <f t="shared" si="3"/>
        <v>0</v>
      </c>
      <c r="AP30" s="830"/>
      <c r="AQ30" s="416"/>
      <c r="AR30" s="841"/>
    </row>
    <row r="31" spans="1:44" ht="20.25">
      <c r="A31" s="921">
        <v>14</v>
      </c>
      <c r="B31" s="921" t="s">
        <v>270</v>
      </c>
      <c r="C31" s="843" t="s">
        <v>521</v>
      </c>
      <c r="D31" s="844">
        <v>1049.97132</v>
      </c>
      <c r="E31" s="841">
        <v>1410</v>
      </c>
      <c r="F31" s="844">
        <v>1049.9</v>
      </c>
      <c r="G31" s="844">
        <v>1050</v>
      </c>
      <c r="H31" s="844"/>
      <c r="I31" s="822" t="s">
        <v>207</v>
      </c>
      <c r="J31" s="836"/>
      <c r="L31" s="845">
        <f t="shared" si="4"/>
        <v>0</v>
      </c>
      <c r="N31" s="837">
        <f t="shared" si="18"/>
        <v>0</v>
      </c>
      <c r="O31" s="416"/>
      <c r="P31" s="416"/>
      <c r="Q31" s="546">
        <f t="shared" si="5"/>
        <v>0</v>
      </c>
      <c r="S31" s="546">
        <f t="shared" si="6"/>
        <v>0</v>
      </c>
      <c r="T31" s="837"/>
      <c r="U31" s="416"/>
      <c r="V31" s="416"/>
      <c r="W31" s="546">
        <f t="shared" si="7"/>
        <v>0</v>
      </c>
      <c r="Y31" s="546">
        <f t="shared" si="8"/>
        <v>0</v>
      </c>
      <c r="Z31" s="837"/>
      <c r="AA31" s="838"/>
      <c r="AB31" s="838"/>
      <c r="AC31" s="838"/>
      <c r="AD31" s="555"/>
      <c r="AE31" s="839"/>
      <c r="AF31" s="556">
        <f t="shared" si="1"/>
        <v>0</v>
      </c>
      <c r="AG31" s="556">
        <f t="shared" si="9"/>
        <v>0</v>
      </c>
      <c r="AH31" s="561"/>
      <c r="AI31" s="555">
        <f t="shared" si="2"/>
        <v>0</v>
      </c>
      <c r="AJ31" s="556">
        <f t="shared" si="10"/>
        <v>0</v>
      </c>
      <c r="AK31" s="556"/>
      <c r="AL31" s="556"/>
      <c r="AM31" s="556"/>
      <c r="AN31" s="556">
        <f t="shared" si="11"/>
        <v>0</v>
      </c>
      <c r="AO31" s="840">
        <f t="shared" si="3"/>
        <v>0</v>
      </c>
      <c r="AP31" s="830"/>
      <c r="AQ31" s="416"/>
      <c r="AR31" s="841"/>
    </row>
    <row r="32" spans="1:44" ht="20.25">
      <c r="A32" s="921">
        <v>14</v>
      </c>
      <c r="B32" s="921" t="s">
        <v>236</v>
      </c>
      <c r="C32" s="843" t="s">
        <v>522</v>
      </c>
      <c r="D32" s="844">
        <v>8669.42363035</v>
      </c>
      <c r="E32" s="841">
        <v>1411</v>
      </c>
      <c r="F32" s="844">
        <v>9844.47</v>
      </c>
      <c r="G32" s="844">
        <v>8720</v>
      </c>
      <c r="H32" s="844">
        <f>+F32-D32-O32-U32</f>
        <v>1175.0463696499992</v>
      </c>
      <c r="I32" s="822" t="s">
        <v>207</v>
      </c>
      <c r="J32" s="847">
        <v>1175.0463696499992</v>
      </c>
      <c r="K32" s="845"/>
      <c r="L32" s="845">
        <f t="shared" si="4"/>
        <v>1175.0463696499992</v>
      </c>
      <c r="M32" s="615">
        <v>0.05</v>
      </c>
      <c r="N32" s="848">
        <f t="shared" si="18"/>
        <v>58.75231848249996</v>
      </c>
      <c r="O32" s="416"/>
      <c r="P32" s="416"/>
      <c r="Q32" s="546">
        <f t="shared" si="5"/>
        <v>0</v>
      </c>
      <c r="R32" s="615"/>
      <c r="S32" s="845">
        <f t="shared" si="6"/>
        <v>0</v>
      </c>
      <c r="T32" s="848"/>
      <c r="U32" s="416"/>
      <c r="V32" s="416"/>
      <c r="W32" s="546">
        <f t="shared" si="7"/>
        <v>0</v>
      </c>
      <c r="X32" s="615">
        <v>0</v>
      </c>
      <c r="Y32" s="845">
        <f t="shared" si="8"/>
        <v>0</v>
      </c>
      <c r="Z32" s="848"/>
      <c r="AA32" s="838">
        <v>1175.0463696499992</v>
      </c>
      <c r="AB32" s="838">
        <v>0</v>
      </c>
      <c r="AC32" s="838"/>
      <c r="AD32" s="555">
        <f t="shared" si="16"/>
        <v>1175.0463696499992</v>
      </c>
      <c r="AE32" s="839">
        <v>0.1</v>
      </c>
      <c r="AF32" s="556">
        <f t="shared" si="1"/>
        <v>117.50463696499992</v>
      </c>
      <c r="AG32" s="556">
        <f t="shared" si="9"/>
        <v>117.50463696499992</v>
      </c>
      <c r="AH32" s="561">
        <f t="shared" si="17"/>
        <v>0.1</v>
      </c>
      <c r="AI32" s="555">
        <f t="shared" si="2"/>
        <v>28.70082150265871</v>
      </c>
      <c r="AJ32" s="556">
        <f t="shared" si="10"/>
        <v>28.70082150265871</v>
      </c>
      <c r="AK32" s="556"/>
      <c r="AL32" s="556"/>
      <c r="AM32" s="556"/>
      <c r="AN32" s="556">
        <f t="shared" si="11"/>
        <v>58.75231848249996</v>
      </c>
      <c r="AO32" s="840">
        <f t="shared" si="3"/>
        <v>0</v>
      </c>
      <c r="AP32" s="830"/>
      <c r="AQ32" s="416"/>
      <c r="AR32" s="841"/>
    </row>
    <row r="33" spans="1:44" ht="20.25">
      <c r="A33" s="921">
        <v>14</v>
      </c>
      <c r="B33" s="921" t="s">
        <v>237</v>
      </c>
      <c r="C33" s="843" t="s">
        <v>523</v>
      </c>
      <c r="D33" s="844">
        <v>540.99688</v>
      </c>
      <c r="E33" s="841">
        <v>1412</v>
      </c>
      <c r="F33" s="844">
        <v>541.02</v>
      </c>
      <c r="G33" s="844">
        <v>541</v>
      </c>
      <c r="H33" s="844"/>
      <c r="I33" s="822" t="s">
        <v>207</v>
      </c>
      <c r="J33" s="836"/>
      <c r="L33" s="845">
        <f t="shared" si="4"/>
        <v>0</v>
      </c>
      <c r="N33" s="837">
        <f t="shared" si="18"/>
        <v>0</v>
      </c>
      <c r="O33" s="416"/>
      <c r="P33" s="416"/>
      <c r="Q33" s="546">
        <f t="shared" si="5"/>
        <v>0</v>
      </c>
      <c r="S33" s="546">
        <f t="shared" si="6"/>
        <v>0</v>
      </c>
      <c r="T33" s="837"/>
      <c r="U33" s="416"/>
      <c r="V33" s="416"/>
      <c r="W33" s="546">
        <f t="shared" si="7"/>
        <v>0</v>
      </c>
      <c r="Y33" s="546">
        <f t="shared" si="8"/>
        <v>0</v>
      </c>
      <c r="Z33" s="837"/>
      <c r="AA33" s="838"/>
      <c r="AB33" s="838"/>
      <c r="AC33" s="838"/>
      <c r="AD33" s="555"/>
      <c r="AE33" s="839"/>
      <c r="AF33" s="556">
        <f t="shared" si="1"/>
        <v>0</v>
      </c>
      <c r="AG33" s="556">
        <f t="shared" si="9"/>
        <v>0</v>
      </c>
      <c r="AH33" s="561"/>
      <c r="AI33" s="555">
        <f t="shared" si="2"/>
        <v>0</v>
      </c>
      <c r="AJ33" s="556">
        <f t="shared" si="10"/>
        <v>0</v>
      </c>
      <c r="AK33" s="556"/>
      <c r="AL33" s="556"/>
      <c r="AM33" s="556"/>
      <c r="AN33" s="556">
        <f t="shared" si="11"/>
        <v>0</v>
      </c>
      <c r="AO33" s="840">
        <f t="shared" si="3"/>
        <v>0</v>
      </c>
      <c r="AP33" s="830"/>
      <c r="AQ33" s="416"/>
      <c r="AR33" s="841"/>
    </row>
    <row r="34" spans="1:44" ht="20.25">
      <c r="A34" s="921">
        <v>14</v>
      </c>
      <c r="B34" s="921" t="s">
        <v>266</v>
      </c>
      <c r="C34" s="843" t="s">
        <v>524</v>
      </c>
      <c r="D34" s="844">
        <v>27.8194</v>
      </c>
      <c r="E34" s="841">
        <v>1413</v>
      </c>
      <c r="F34" s="844">
        <v>27.84</v>
      </c>
      <c r="G34" s="844">
        <v>28</v>
      </c>
      <c r="H34" s="844"/>
      <c r="I34" s="822" t="s">
        <v>207</v>
      </c>
      <c r="J34" s="836"/>
      <c r="L34" s="845">
        <f t="shared" si="4"/>
        <v>0</v>
      </c>
      <c r="N34" s="837">
        <f t="shared" si="18"/>
        <v>0</v>
      </c>
      <c r="O34" s="416"/>
      <c r="P34" s="416"/>
      <c r="Q34" s="546">
        <f t="shared" si="5"/>
        <v>0</v>
      </c>
      <c r="S34" s="546">
        <f t="shared" si="6"/>
        <v>0</v>
      </c>
      <c r="T34" s="837"/>
      <c r="U34" s="416"/>
      <c r="V34" s="416"/>
      <c r="W34" s="546">
        <f t="shared" si="7"/>
        <v>0</v>
      </c>
      <c r="Y34" s="546">
        <f t="shared" si="8"/>
        <v>0</v>
      </c>
      <c r="Z34" s="837"/>
      <c r="AA34" s="838"/>
      <c r="AB34" s="838"/>
      <c r="AC34" s="838"/>
      <c r="AD34" s="555"/>
      <c r="AE34" s="839"/>
      <c r="AF34" s="556">
        <f t="shared" si="1"/>
        <v>0</v>
      </c>
      <c r="AG34" s="556">
        <f t="shared" si="9"/>
        <v>0</v>
      </c>
      <c r="AH34" s="561"/>
      <c r="AI34" s="555">
        <f t="shared" si="2"/>
        <v>0</v>
      </c>
      <c r="AJ34" s="556">
        <f t="shared" si="10"/>
        <v>0</v>
      </c>
      <c r="AK34" s="556"/>
      <c r="AL34" s="556"/>
      <c r="AM34" s="556"/>
      <c r="AN34" s="556">
        <f t="shared" si="11"/>
        <v>0</v>
      </c>
      <c r="AO34" s="840">
        <f t="shared" si="3"/>
        <v>0</v>
      </c>
      <c r="AP34" s="830"/>
      <c r="AQ34" s="416"/>
      <c r="AR34" s="841"/>
    </row>
    <row r="35" spans="1:44" ht="20.25">
      <c r="A35" s="921">
        <v>14</v>
      </c>
      <c r="B35" s="921" t="s">
        <v>271</v>
      </c>
      <c r="C35" s="843" t="s">
        <v>525</v>
      </c>
      <c r="D35" s="844">
        <v>674.83326</v>
      </c>
      <c r="E35" s="841">
        <v>1414</v>
      </c>
      <c r="F35" s="844">
        <v>674.68</v>
      </c>
      <c r="G35" s="844">
        <v>639</v>
      </c>
      <c r="H35" s="844"/>
      <c r="I35" s="822" t="s">
        <v>207</v>
      </c>
      <c r="J35" s="836"/>
      <c r="L35" s="845">
        <f t="shared" si="4"/>
        <v>0</v>
      </c>
      <c r="N35" s="837">
        <f t="shared" si="18"/>
        <v>0</v>
      </c>
      <c r="O35" s="416"/>
      <c r="P35" s="416"/>
      <c r="Q35" s="546">
        <f t="shared" si="5"/>
        <v>0</v>
      </c>
      <c r="S35" s="546">
        <f t="shared" si="6"/>
        <v>0</v>
      </c>
      <c r="T35" s="837"/>
      <c r="U35" s="416"/>
      <c r="V35" s="416"/>
      <c r="W35" s="546">
        <f t="shared" si="7"/>
        <v>0</v>
      </c>
      <c r="Y35" s="546">
        <f t="shared" si="8"/>
        <v>0</v>
      </c>
      <c r="Z35" s="837"/>
      <c r="AA35" s="838"/>
      <c r="AB35" s="838"/>
      <c r="AC35" s="838"/>
      <c r="AD35" s="555"/>
      <c r="AE35" s="839"/>
      <c r="AF35" s="556">
        <f t="shared" si="1"/>
        <v>0</v>
      </c>
      <c r="AG35" s="556">
        <f t="shared" si="9"/>
        <v>0</v>
      </c>
      <c r="AH35" s="561"/>
      <c r="AI35" s="555">
        <f t="shared" si="2"/>
        <v>0</v>
      </c>
      <c r="AJ35" s="556">
        <f t="shared" si="10"/>
        <v>0</v>
      </c>
      <c r="AK35" s="556"/>
      <c r="AL35" s="556"/>
      <c r="AM35" s="556"/>
      <c r="AN35" s="556">
        <f t="shared" si="11"/>
        <v>0</v>
      </c>
      <c r="AO35" s="840">
        <f t="shared" si="3"/>
        <v>0</v>
      </c>
      <c r="AP35" s="830"/>
      <c r="AQ35" s="416"/>
      <c r="AR35" s="841"/>
    </row>
    <row r="36" spans="1:44" ht="20.25">
      <c r="A36" s="921">
        <v>14</v>
      </c>
      <c r="B36" s="921" t="s">
        <v>238</v>
      </c>
      <c r="C36" s="843" t="s">
        <v>526</v>
      </c>
      <c r="D36" s="844">
        <v>23.85</v>
      </c>
      <c r="E36" s="841">
        <v>1415</v>
      </c>
      <c r="F36" s="844">
        <v>23.83</v>
      </c>
      <c r="G36" s="844">
        <v>24</v>
      </c>
      <c r="H36" s="844"/>
      <c r="I36" s="822" t="s">
        <v>207</v>
      </c>
      <c r="J36" s="836"/>
      <c r="L36" s="845">
        <f t="shared" si="4"/>
        <v>0</v>
      </c>
      <c r="N36" s="837">
        <f t="shared" si="18"/>
        <v>0</v>
      </c>
      <c r="O36" s="416"/>
      <c r="P36" s="416"/>
      <c r="Q36" s="546">
        <f t="shared" si="5"/>
        <v>0</v>
      </c>
      <c r="S36" s="546">
        <f t="shared" si="6"/>
        <v>0</v>
      </c>
      <c r="T36" s="837"/>
      <c r="U36" s="416"/>
      <c r="V36" s="416"/>
      <c r="W36" s="546">
        <f t="shared" si="7"/>
        <v>0</v>
      </c>
      <c r="Y36" s="546">
        <f t="shared" si="8"/>
        <v>0</v>
      </c>
      <c r="Z36" s="837"/>
      <c r="AA36" s="838"/>
      <c r="AB36" s="838"/>
      <c r="AC36" s="838"/>
      <c r="AD36" s="555"/>
      <c r="AE36" s="839"/>
      <c r="AF36" s="556">
        <f t="shared" si="1"/>
        <v>0</v>
      </c>
      <c r="AG36" s="556">
        <f t="shared" si="9"/>
        <v>0</v>
      </c>
      <c r="AH36" s="561"/>
      <c r="AI36" s="555">
        <f t="shared" si="2"/>
        <v>0</v>
      </c>
      <c r="AJ36" s="556">
        <f t="shared" si="10"/>
        <v>0</v>
      </c>
      <c r="AK36" s="556"/>
      <c r="AL36" s="556"/>
      <c r="AM36" s="556"/>
      <c r="AN36" s="556">
        <f t="shared" si="11"/>
        <v>0</v>
      </c>
      <c r="AO36" s="840">
        <f t="shared" si="3"/>
        <v>0</v>
      </c>
      <c r="AP36" s="830"/>
      <c r="AQ36" s="416"/>
      <c r="AR36" s="841"/>
    </row>
    <row r="37" spans="1:44" ht="20.25">
      <c r="A37" s="921">
        <v>14</v>
      </c>
      <c r="B37" s="921" t="s">
        <v>239</v>
      </c>
      <c r="C37" s="843" t="s">
        <v>527</v>
      </c>
      <c r="D37" s="844">
        <v>579.50276</v>
      </c>
      <c r="E37" s="841">
        <v>1416</v>
      </c>
      <c r="F37" s="844">
        <v>685.89</v>
      </c>
      <c r="G37" s="844">
        <v>642</v>
      </c>
      <c r="H37" s="844">
        <f aca="true" t="shared" si="19" ref="H37:H47">+F37-D37-O37-U37</f>
        <v>106.38724000000002</v>
      </c>
      <c r="I37" s="822" t="s">
        <v>207</v>
      </c>
      <c r="J37" s="847">
        <v>106.38724000000002</v>
      </c>
      <c r="K37" s="857">
        <v>121</v>
      </c>
      <c r="L37" s="845">
        <f t="shared" si="4"/>
        <v>227.38724000000002</v>
      </c>
      <c r="M37" s="615">
        <v>0.25</v>
      </c>
      <c r="N37" s="848">
        <f t="shared" si="18"/>
        <v>56.846810000000005</v>
      </c>
      <c r="O37" s="416"/>
      <c r="P37" s="416"/>
      <c r="Q37" s="546">
        <f t="shared" si="5"/>
        <v>0</v>
      </c>
      <c r="R37" s="615"/>
      <c r="S37" s="845">
        <f t="shared" si="6"/>
        <v>0</v>
      </c>
      <c r="T37" s="848"/>
      <c r="U37" s="416"/>
      <c r="V37" s="416"/>
      <c r="W37" s="546">
        <f t="shared" si="7"/>
        <v>0</v>
      </c>
      <c r="X37" s="615">
        <v>0</v>
      </c>
      <c r="Y37" s="845">
        <f t="shared" si="8"/>
        <v>0</v>
      </c>
      <c r="Z37" s="848"/>
      <c r="AA37" s="838">
        <v>106.38724000000002</v>
      </c>
      <c r="AB37" s="838">
        <v>121</v>
      </c>
      <c r="AC37" s="838"/>
      <c r="AD37" s="555">
        <f t="shared" si="16"/>
        <v>227.38724000000002</v>
      </c>
      <c r="AE37" s="839">
        <v>0.25</v>
      </c>
      <c r="AF37" s="556">
        <f t="shared" si="1"/>
        <v>56.846810000000005</v>
      </c>
      <c r="AG37" s="556">
        <f t="shared" si="9"/>
        <v>56.846810000000005</v>
      </c>
      <c r="AH37" s="561">
        <f t="shared" si="17"/>
        <v>0.25</v>
      </c>
      <c r="AI37" s="555">
        <f t="shared" si="2"/>
        <v>13.884985213745479</v>
      </c>
      <c r="AJ37" s="556">
        <f t="shared" si="10"/>
        <v>13.884985213745479</v>
      </c>
      <c r="AK37" s="556"/>
      <c r="AL37" s="556"/>
      <c r="AM37" s="556"/>
      <c r="AN37" s="556">
        <f t="shared" si="11"/>
        <v>56.846810000000005</v>
      </c>
      <c r="AO37" s="840">
        <f t="shared" si="3"/>
        <v>0</v>
      </c>
      <c r="AP37" s="830"/>
      <c r="AQ37" s="416"/>
      <c r="AR37" s="841"/>
    </row>
    <row r="38" spans="1:44" ht="20.25">
      <c r="A38" s="921">
        <v>14</v>
      </c>
      <c r="B38" s="921" t="s">
        <v>272</v>
      </c>
      <c r="C38" s="843" t="s">
        <v>528</v>
      </c>
      <c r="D38" s="844">
        <v>55.21</v>
      </c>
      <c r="E38" s="841">
        <v>1419</v>
      </c>
      <c r="F38" s="844">
        <v>55.21</v>
      </c>
      <c r="G38" s="844">
        <v>46</v>
      </c>
      <c r="H38" s="844">
        <f t="shared" si="19"/>
        <v>0</v>
      </c>
      <c r="I38" s="822" t="s">
        <v>207</v>
      </c>
      <c r="J38" s="836">
        <v>0</v>
      </c>
      <c r="K38" s="858"/>
      <c r="L38" s="845">
        <f t="shared" si="4"/>
        <v>0</v>
      </c>
      <c r="N38" s="837">
        <f t="shared" si="18"/>
        <v>0</v>
      </c>
      <c r="O38" s="416"/>
      <c r="P38" s="416"/>
      <c r="Q38" s="546">
        <f t="shared" si="5"/>
        <v>0</v>
      </c>
      <c r="S38" s="546">
        <f t="shared" si="6"/>
        <v>0</v>
      </c>
      <c r="T38" s="837"/>
      <c r="U38" s="416"/>
      <c r="V38" s="416"/>
      <c r="W38" s="546">
        <f t="shared" si="7"/>
        <v>0</v>
      </c>
      <c r="Y38" s="546">
        <f t="shared" si="8"/>
        <v>0</v>
      </c>
      <c r="Z38" s="837"/>
      <c r="AA38" s="838"/>
      <c r="AB38" s="838"/>
      <c r="AC38" s="838"/>
      <c r="AD38" s="555"/>
      <c r="AE38" s="839"/>
      <c r="AF38" s="556">
        <f t="shared" si="1"/>
        <v>0</v>
      </c>
      <c r="AG38" s="556">
        <f t="shared" si="9"/>
        <v>0</v>
      </c>
      <c r="AH38" s="561"/>
      <c r="AI38" s="555">
        <f t="shared" si="2"/>
        <v>0</v>
      </c>
      <c r="AJ38" s="556">
        <f t="shared" si="10"/>
        <v>0</v>
      </c>
      <c r="AK38" s="556"/>
      <c r="AL38" s="556"/>
      <c r="AM38" s="556"/>
      <c r="AN38" s="556">
        <f t="shared" si="11"/>
        <v>0</v>
      </c>
      <c r="AO38" s="840">
        <f t="shared" si="3"/>
        <v>0</v>
      </c>
      <c r="AP38" s="830"/>
      <c r="AQ38" s="416"/>
      <c r="AR38" s="841"/>
    </row>
    <row r="39" spans="1:44" ht="20.25">
      <c r="A39" s="921">
        <v>14</v>
      </c>
      <c r="B39" s="921" t="s">
        <v>274</v>
      </c>
      <c r="C39" s="843" t="s">
        <v>529</v>
      </c>
      <c r="D39" s="844">
        <v>118.17561</v>
      </c>
      <c r="E39" s="841">
        <v>1421</v>
      </c>
      <c r="F39" s="844">
        <v>379.91</v>
      </c>
      <c r="G39" s="844">
        <v>120</v>
      </c>
      <c r="H39" s="844">
        <f t="shared" si="19"/>
        <v>261.73439</v>
      </c>
      <c r="I39" s="822" t="s">
        <v>207</v>
      </c>
      <c r="J39" s="847">
        <v>261.73439</v>
      </c>
      <c r="K39" s="857">
        <v>226</v>
      </c>
      <c r="L39" s="845">
        <f t="shared" si="4"/>
        <v>487.73439</v>
      </c>
      <c r="M39" s="615">
        <v>0.2</v>
      </c>
      <c r="N39" s="848">
        <f t="shared" si="18"/>
        <v>97.546878</v>
      </c>
      <c r="O39" s="416"/>
      <c r="P39" s="416"/>
      <c r="Q39" s="546">
        <f t="shared" si="5"/>
        <v>0</v>
      </c>
      <c r="R39" s="615"/>
      <c r="S39" s="845">
        <f t="shared" si="6"/>
        <v>0</v>
      </c>
      <c r="T39" s="848"/>
      <c r="U39" s="416"/>
      <c r="V39" s="416"/>
      <c r="W39" s="546">
        <f t="shared" si="7"/>
        <v>0</v>
      </c>
      <c r="X39" s="615">
        <v>0</v>
      </c>
      <c r="Y39" s="845">
        <f t="shared" si="8"/>
        <v>0</v>
      </c>
      <c r="Z39" s="848"/>
      <c r="AA39" s="838">
        <v>261.73439</v>
      </c>
      <c r="AB39" s="838">
        <v>226</v>
      </c>
      <c r="AC39" s="838"/>
      <c r="AD39" s="555">
        <f t="shared" si="16"/>
        <v>487.73439</v>
      </c>
      <c r="AE39" s="839">
        <v>1</v>
      </c>
      <c r="AF39" s="556">
        <f t="shared" si="1"/>
        <v>487.73439</v>
      </c>
      <c r="AG39" s="556">
        <f t="shared" si="9"/>
        <v>487.73439</v>
      </c>
      <c r="AH39" s="561">
        <f t="shared" si="17"/>
        <v>1</v>
      </c>
      <c r="AI39" s="555">
        <f t="shared" si="2"/>
        <v>119.13042778275809</v>
      </c>
      <c r="AJ39" s="556">
        <f t="shared" si="10"/>
        <v>119.13042778275809</v>
      </c>
      <c r="AK39" s="556"/>
      <c r="AL39" s="556"/>
      <c r="AM39" s="556"/>
      <c r="AN39" s="556">
        <f t="shared" si="11"/>
        <v>97.546878</v>
      </c>
      <c r="AO39" s="840">
        <f t="shared" si="3"/>
        <v>0</v>
      </c>
      <c r="AP39" s="830"/>
      <c r="AQ39" s="416"/>
      <c r="AR39" s="841"/>
    </row>
    <row r="40" spans="1:44" ht="20.25">
      <c r="A40" s="921">
        <v>14</v>
      </c>
      <c r="B40" s="921" t="s">
        <v>275</v>
      </c>
      <c r="C40" s="843" t="s">
        <v>530</v>
      </c>
      <c r="D40" s="844">
        <v>0</v>
      </c>
      <c r="E40" s="841">
        <v>1431</v>
      </c>
      <c r="F40" s="844">
        <v>698.9</v>
      </c>
      <c r="G40" s="844"/>
      <c r="H40" s="844">
        <f t="shared" si="19"/>
        <v>698.9</v>
      </c>
      <c r="I40" s="822" t="s">
        <v>207</v>
      </c>
      <c r="J40" s="847">
        <v>698.9</v>
      </c>
      <c r="K40" s="845"/>
      <c r="L40" s="845">
        <f t="shared" si="4"/>
        <v>698.9</v>
      </c>
      <c r="M40" s="615">
        <v>0.2</v>
      </c>
      <c r="N40" s="848">
        <f t="shared" si="18"/>
        <v>139.78</v>
      </c>
      <c r="O40" s="416"/>
      <c r="P40" s="416"/>
      <c r="Q40" s="546">
        <f t="shared" si="5"/>
        <v>0</v>
      </c>
      <c r="R40" s="615"/>
      <c r="S40" s="845">
        <f t="shared" si="6"/>
        <v>0</v>
      </c>
      <c r="T40" s="848"/>
      <c r="U40" s="416"/>
      <c r="V40" s="416"/>
      <c r="W40" s="546">
        <f t="shared" si="7"/>
        <v>0</v>
      </c>
      <c r="X40" s="615">
        <v>0</v>
      </c>
      <c r="Y40" s="845">
        <f t="shared" si="8"/>
        <v>0</v>
      </c>
      <c r="Z40" s="848"/>
      <c r="AA40" s="838">
        <v>698.9</v>
      </c>
      <c r="AB40" s="838">
        <v>0</v>
      </c>
      <c r="AC40" s="838"/>
      <c r="AD40" s="555">
        <f t="shared" si="16"/>
        <v>698.9</v>
      </c>
      <c r="AE40" s="839">
        <v>1</v>
      </c>
      <c r="AF40" s="556">
        <f t="shared" si="1"/>
        <v>698.9</v>
      </c>
      <c r="AG40" s="556">
        <f t="shared" si="9"/>
        <v>698.9</v>
      </c>
      <c r="AH40" s="561">
        <f t="shared" si="17"/>
        <v>1</v>
      </c>
      <c r="AI40" s="555">
        <f t="shared" si="2"/>
        <v>170.70819217273078</v>
      </c>
      <c r="AJ40" s="556">
        <f t="shared" si="10"/>
        <v>170.70819217273078</v>
      </c>
      <c r="AK40" s="556"/>
      <c r="AL40" s="556"/>
      <c r="AM40" s="556"/>
      <c r="AN40" s="556">
        <f t="shared" si="11"/>
        <v>139.78</v>
      </c>
      <c r="AO40" s="840">
        <f t="shared" si="3"/>
        <v>0</v>
      </c>
      <c r="AP40" s="830"/>
      <c r="AQ40" s="416"/>
      <c r="AR40" s="841"/>
    </row>
    <row r="41" spans="1:44" ht="20.25">
      <c r="A41" s="921">
        <v>14</v>
      </c>
      <c r="B41" s="921" t="s">
        <v>273</v>
      </c>
      <c r="C41" s="843" t="s">
        <v>531</v>
      </c>
      <c r="D41" s="844">
        <v>2896.727392036118</v>
      </c>
      <c r="E41" s="841">
        <v>1451</v>
      </c>
      <c r="F41" s="844">
        <v>5994</v>
      </c>
      <c r="G41" s="844">
        <f>4090-45</f>
        <v>4045</v>
      </c>
      <c r="H41" s="844">
        <f t="shared" si="19"/>
        <v>2637.272607963882</v>
      </c>
      <c r="I41" s="822" t="s">
        <v>207</v>
      </c>
      <c r="J41" s="847">
        <v>2633.9626079638815</v>
      </c>
      <c r="K41" s="859">
        <f>337+282</f>
        <v>619</v>
      </c>
      <c r="L41" s="845">
        <f t="shared" si="4"/>
        <v>3252.9626079638815</v>
      </c>
      <c r="M41" s="860">
        <v>0.05</v>
      </c>
      <c r="N41" s="859">
        <f t="shared" si="18"/>
        <v>162.6481303981941</v>
      </c>
      <c r="O41" s="416">
        <v>460</v>
      </c>
      <c r="P41" s="861">
        <v>98</v>
      </c>
      <c r="Q41" s="546">
        <f t="shared" si="5"/>
        <v>558</v>
      </c>
      <c r="R41" s="860">
        <v>0.36</v>
      </c>
      <c r="S41" s="859">
        <f t="shared" si="6"/>
        <v>200.88</v>
      </c>
      <c r="T41" s="848">
        <v>250</v>
      </c>
      <c r="U41" s="416"/>
      <c r="V41" s="416"/>
      <c r="W41" s="546">
        <f t="shared" si="7"/>
        <v>0</v>
      </c>
      <c r="X41" s="615">
        <v>0</v>
      </c>
      <c r="Y41" s="845">
        <f t="shared" si="8"/>
        <v>0</v>
      </c>
      <c r="Z41" s="848"/>
      <c r="AA41" s="838">
        <v>3093.9626079638815</v>
      </c>
      <c r="AB41" s="838">
        <v>717</v>
      </c>
      <c r="AC41" s="838">
        <v>0</v>
      </c>
      <c r="AD41" s="555">
        <f t="shared" si="16"/>
        <v>3810.9626079638815</v>
      </c>
      <c r="AE41" s="839">
        <v>0.213</v>
      </c>
      <c r="AF41" s="556">
        <f t="shared" si="1"/>
        <v>811.7350354963068</v>
      </c>
      <c r="AG41" s="556">
        <f t="shared" si="9"/>
        <v>811.7350354963068</v>
      </c>
      <c r="AH41" s="561">
        <f t="shared" si="17"/>
        <v>0.213</v>
      </c>
      <c r="AI41" s="555">
        <f t="shared" si="2"/>
        <v>198.26845104141077</v>
      </c>
      <c r="AJ41" s="556">
        <f t="shared" si="10"/>
        <v>198.26845104141077</v>
      </c>
      <c r="AK41" s="556"/>
      <c r="AL41" s="556"/>
      <c r="AM41" s="556"/>
      <c r="AN41" s="556">
        <f t="shared" si="11"/>
        <v>363.5281303981941</v>
      </c>
      <c r="AO41" s="840">
        <f t="shared" si="3"/>
        <v>250</v>
      </c>
      <c r="AP41" s="830">
        <v>394</v>
      </c>
      <c r="AQ41" s="416"/>
      <c r="AR41" s="841"/>
    </row>
    <row r="42" spans="1:44" ht="20.25">
      <c r="A42" s="921"/>
      <c r="B42" s="921" t="s">
        <v>240</v>
      </c>
      <c r="C42" s="843" t="s">
        <v>532</v>
      </c>
      <c r="D42" s="844">
        <v>77.77219875</v>
      </c>
      <c r="E42" s="841">
        <v>1459</v>
      </c>
      <c r="F42" s="844">
        <v>422.86</v>
      </c>
      <c r="G42" s="844">
        <v>45</v>
      </c>
      <c r="H42" s="844">
        <f t="shared" si="19"/>
        <v>302.08780125</v>
      </c>
      <c r="I42" s="822" t="s">
        <v>207</v>
      </c>
      <c r="J42" s="847">
        <v>301.38780125</v>
      </c>
      <c r="K42" s="862"/>
      <c r="L42" s="845">
        <f t="shared" si="4"/>
        <v>301.38780125</v>
      </c>
      <c r="M42" s="860">
        <v>0.05</v>
      </c>
      <c r="N42" s="863">
        <f t="shared" si="18"/>
        <v>15.0693900625</v>
      </c>
      <c r="O42" s="416">
        <v>43</v>
      </c>
      <c r="P42" s="864"/>
      <c r="Q42" s="546">
        <f t="shared" si="5"/>
        <v>43</v>
      </c>
      <c r="R42" s="860">
        <v>0.36</v>
      </c>
      <c r="S42" s="863">
        <f t="shared" si="6"/>
        <v>15.479999999999999</v>
      </c>
      <c r="T42" s="848"/>
      <c r="U42" s="416"/>
      <c r="V42" s="416"/>
      <c r="W42" s="546">
        <f t="shared" si="7"/>
        <v>0</v>
      </c>
      <c r="X42" s="615">
        <v>0</v>
      </c>
      <c r="Y42" s="845">
        <f t="shared" si="8"/>
        <v>0</v>
      </c>
      <c r="Z42" s="848"/>
      <c r="AA42" s="838">
        <v>344.38780125</v>
      </c>
      <c r="AB42" s="838">
        <v>0</v>
      </c>
      <c r="AC42" s="838"/>
      <c r="AD42" s="555">
        <f t="shared" si="16"/>
        <v>344.38780125</v>
      </c>
      <c r="AE42" s="839">
        <v>1</v>
      </c>
      <c r="AF42" s="556">
        <f t="shared" si="1"/>
        <v>344.38780125</v>
      </c>
      <c r="AG42" s="556">
        <f t="shared" si="9"/>
        <v>344.38780125</v>
      </c>
      <c r="AH42" s="561">
        <f t="shared" si="17"/>
        <v>1</v>
      </c>
      <c r="AI42" s="555">
        <f t="shared" si="2"/>
        <v>84.11764051756934</v>
      </c>
      <c r="AJ42" s="556">
        <f t="shared" si="10"/>
        <v>84.11764051756934</v>
      </c>
      <c r="AK42" s="556"/>
      <c r="AL42" s="556"/>
      <c r="AM42" s="556"/>
      <c r="AN42" s="556">
        <f t="shared" si="11"/>
        <v>30.5493900625</v>
      </c>
      <c r="AO42" s="840">
        <f t="shared" si="3"/>
        <v>0</v>
      </c>
      <c r="AP42" s="830"/>
      <c r="AQ42" s="416"/>
      <c r="AR42" s="841"/>
    </row>
    <row r="43" spans="1:44" ht="20.25">
      <c r="A43" s="921">
        <v>14</v>
      </c>
      <c r="B43" s="921" t="s">
        <v>316</v>
      </c>
      <c r="C43" s="843" t="s">
        <v>533</v>
      </c>
      <c r="D43" s="844">
        <v>53.0650624</v>
      </c>
      <c r="E43" s="841">
        <v>1460</v>
      </c>
      <c r="F43" s="844">
        <v>63.05</v>
      </c>
      <c r="G43" s="844">
        <v>37</v>
      </c>
      <c r="H43" s="844">
        <f t="shared" si="19"/>
        <v>9.984937599999995</v>
      </c>
      <c r="I43" s="822" t="s">
        <v>207</v>
      </c>
      <c r="J43" s="847">
        <v>9.984937599999995</v>
      </c>
      <c r="K43" s="845"/>
      <c r="L43" s="845">
        <f t="shared" si="4"/>
        <v>9.984937599999995</v>
      </c>
      <c r="M43" s="615">
        <v>0.25</v>
      </c>
      <c r="N43" s="848">
        <f t="shared" si="18"/>
        <v>2.4962343999999987</v>
      </c>
      <c r="O43" s="416"/>
      <c r="P43" s="416"/>
      <c r="Q43" s="546">
        <f t="shared" si="5"/>
        <v>0</v>
      </c>
      <c r="R43" s="615"/>
      <c r="S43" s="845">
        <f t="shared" si="6"/>
        <v>0</v>
      </c>
      <c r="T43" s="848"/>
      <c r="U43" s="416"/>
      <c r="V43" s="416"/>
      <c r="W43" s="546">
        <f t="shared" si="7"/>
        <v>0</v>
      </c>
      <c r="X43" s="615">
        <v>0</v>
      </c>
      <c r="Y43" s="845">
        <f t="shared" si="8"/>
        <v>0</v>
      </c>
      <c r="Z43" s="848"/>
      <c r="AA43" s="838">
        <v>9.984937599999995</v>
      </c>
      <c r="AB43" s="838">
        <v>0</v>
      </c>
      <c r="AC43" s="838"/>
      <c r="AD43" s="555">
        <f t="shared" si="16"/>
        <v>9.984937599999995</v>
      </c>
      <c r="AE43" s="839">
        <v>0.25</v>
      </c>
      <c r="AF43" s="556">
        <f t="shared" si="1"/>
        <v>2.4962343999999987</v>
      </c>
      <c r="AG43" s="556">
        <f t="shared" si="9"/>
        <v>2.4962343999999987</v>
      </c>
      <c r="AH43" s="561">
        <f t="shared" si="17"/>
        <v>0.25</v>
      </c>
      <c r="AI43" s="555">
        <f t="shared" si="2"/>
        <v>0.6097119211094307</v>
      </c>
      <c r="AJ43" s="556">
        <f t="shared" si="10"/>
        <v>0.6097119211094307</v>
      </c>
      <c r="AK43" s="556"/>
      <c r="AL43" s="556"/>
      <c r="AM43" s="556"/>
      <c r="AN43" s="556">
        <f t="shared" si="11"/>
        <v>2.4962343999999987</v>
      </c>
      <c r="AO43" s="840">
        <f t="shared" si="3"/>
        <v>0</v>
      </c>
      <c r="AP43" s="830"/>
      <c r="AQ43" s="416"/>
      <c r="AR43" s="841"/>
    </row>
    <row r="44" spans="1:44" ht="20.25">
      <c r="A44" s="921">
        <v>15</v>
      </c>
      <c r="B44" s="921" t="s">
        <v>280</v>
      </c>
      <c r="C44" s="843" t="s">
        <v>534</v>
      </c>
      <c r="D44" s="844">
        <v>124.76769999999999</v>
      </c>
      <c r="E44" s="841">
        <v>1501</v>
      </c>
      <c r="F44" s="844">
        <v>217.92</v>
      </c>
      <c r="G44" s="844">
        <v>143</v>
      </c>
      <c r="H44" s="844">
        <f t="shared" si="19"/>
        <v>93.1523</v>
      </c>
      <c r="I44" s="822" t="s">
        <v>207</v>
      </c>
      <c r="J44" s="847">
        <v>93.1523</v>
      </c>
      <c r="K44" s="845"/>
      <c r="L44" s="845">
        <f t="shared" si="4"/>
        <v>93.1523</v>
      </c>
      <c r="M44" s="615">
        <v>0.2</v>
      </c>
      <c r="N44" s="848">
        <f t="shared" si="18"/>
        <v>18.63046</v>
      </c>
      <c r="O44" s="416"/>
      <c r="P44" s="416"/>
      <c r="Q44" s="546">
        <f t="shared" si="5"/>
        <v>0</v>
      </c>
      <c r="R44" s="615"/>
      <c r="S44" s="845">
        <f t="shared" si="6"/>
        <v>0</v>
      </c>
      <c r="T44" s="848"/>
      <c r="U44" s="416"/>
      <c r="V44" s="416"/>
      <c r="W44" s="546">
        <f t="shared" si="7"/>
        <v>0</v>
      </c>
      <c r="X44" s="615">
        <v>0</v>
      </c>
      <c r="Y44" s="845">
        <f t="shared" si="8"/>
        <v>0</v>
      </c>
      <c r="Z44" s="848"/>
      <c r="AA44" s="838">
        <v>93.1523</v>
      </c>
      <c r="AB44" s="838">
        <v>0</v>
      </c>
      <c r="AC44" s="838"/>
      <c r="AD44" s="555">
        <f t="shared" si="16"/>
        <v>93.1523</v>
      </c>
      <c r="AE44" s="839">
        <v>1.5</v>
      </c>
      <c r="AF44" s="556">
        <f t="shared" si="1"/>
        <v>139.72845</v>
      </c>
      <c r="AG44" s="556">
        <f t="shared" si="9"/>
        <v>139.72845</v>
      </c>
      <c r="AH44" s="561">
        <f t="shared" si="17"/>
        <v>1.5000000000000002</v>
      </c>
      <c r="AI44" s="555">
        <f t="shared" si="2"/>
        <v>34.129047209325805</v>
      </c>
      <c r="AJ44" s="556">
        <f t="shared" si="10"/>
        <v>34.129047209325805</v>
      </c>
      <c r="AK44" s="556"/>
      <c r="AL44" s="556"/>
      <c r="AM44" s="556"/>
      <c r="AN44" s="556">
        <f t="shared" si="11"/>
        <v>18.63046</v>
      </c>
      <c r="AO44" s="840">
        <f t="shared" si="3"/>
        <v>0</v>
      </c>
      <c r="AP44" s="830"/>
      <c r="AQ44" s="416"/>
      <c r="AR44" s="841"/>
    </row>
    <row r="45" spans="1:44" ht="20.25">
      <c r="A45" s="921">
        <v>15</v>
      </c>
      <c r="B45" s="921" t="s">
        <v>317</v>
      </c>
      <c r="C45" s="843" t="s">
        <v>535</v>
      </c>
      <c r="D45" s="844">
        <v>0</v>
      </c>
      <c r="E45" s="841">
        <v>1550</v>
      </c>
      <c r="F45" s="844">
        <v>1132.27</v>
      </c>
      <c r="G45" s="844"/>
      <c r="H45" s="844">
        <f t="shared" si="19"/>
        <v>465.27</v>
      </c>
      <c r="I45" s="822" t="s">
        <v>207</v>
      </c>
      <c r="J45" s="847">
        <f>489.47-15</f>
        <v>474.47</v>
      </c>
      <c r="K45" s="845"/>
      <c r="L45" s="845">
        <f t="shared" si="4"/>
        <v>474.47</v>
      </c>
      <c r="M45" s="615">
        <v>0.05</v>
      </c>
      <c r="N45" s="848">
        <f t="shared" si="18"/>
        <v>23.7235</v>
      </c>
      <c r="O45" s="416">
        <v>667</v>
      </c>
      <c r="P45" s="416"/>
      <c r="Q45" s="546">
        <f t="shared" si="5"/>
        <v>667</v>
      </c>
      <c r="R45" s="615">
        <v>0.3</v>
      </c>
      <c r="S45" s="850">
        <f t="shared" si="6"/>
        <v>200.1</v>
      </c>
      <c r="T45" s="851">
        <v>540</v>
      </c>
      <c r="U45" s="416"/>
      <c r="V45" s="416"/>
      <c r="X45" s="615">
        <v>0</v>
      </c>
      <c r="Y45" s="845">
        <f t="shared" si="8"/>
        <v>0</v>
      </c>
      <c r="Z45" s="852">
        <v>0</v>
      </c>
      <c r="AA45" s="838">
        <v>1141.47</v>
      </c>
      <c r="AB45" s="838">
        <v>0</v>
      </c>
      <c r="AC45" s="838">
        <v>0</v>
      </c>
      <c r="AD45" s="555">
        <f t="shared" si="16"/>
        <v>1141.47</v>
      </c>
      <c r="AE45" s="839">
        <v>0.8694</v>
      </c>
      <c r="AF45" s="556">
        <f t="shared" si="1"/>
        <v>992.394018</v>
      </c>
      <c r="AG45" s="556">
        <f t="shared" si="9"/>
        <v>992.394018</v>
      </c>
      <c r="AH45" s="561">
        <f t="shared" si="17"/>
        <v>0.8694</v>
      </c>
      <c r="AI45" s="555">
        <f t="shared" si="2"/>
        <v>242.39489016427592</v>
      </c>
      <c r="AJ45" s="556">
        <f t="shared" si="10"/>
        <v>242.39489016427592</v>
      </c>
      <c r="AK45" s="556"/>
      <c r="AL45" s="556"/>
      <c r="AM45" s="556"/>
      <c r="AN45" s="556">
        <f t="shared" si="11"/>
        <v>223.8235</v>
      </c>
      <c r="AO45" s="840">
        <f t="shared" si="3"/>
        <v>540</v>
      </c>
      <c r="AP45" s="830">
        <v>0</v>
      </c>
      <c r="AQ45" s="416"/>
      <c r="AR45" s="841"/>
    </row>
    <row r="46" spans="1:44" ht="20.25">
      <c r="A46" s="921">
        <v>16</v>
      </c>
      <c r="B46" s="921" t="s">
        <v>281</v>
      </c>
      <c r="C46" s="843" t="s">
        <v>536</v>
      </c>
      <c r="D46" s="844">
        <v>2.79</v>
      </c>
      <c r="E46" s="841">
        <v>1601</v>
      </c>
      <c r="F46" s="844">
        <v>1148.33</v>
      </c>
      <c r="G46" s="844">
        <v>3</v>
      </c>
      <c r="H46" s="844">
        <f t="shared" si="19"/>
        <v>172.53999999999996</v>
      </c>
      <c r="I46" s="822" t="s">
        <v>207</v>
      </c>
      <c r="J46" s="847">
        <v>170.74</v>
      </c>
      <c r="K46" s="845"/>
      <c r="L46" s="845">
        <f t="shared" si="4"/>
        <v>170.74</v>
      </c>
      <c r="M46" s="615">
        <v>0.1</v>
      </c>
      <c r="N46" s="848">
        <f t="shared" si="18"/>
        <v>17.074</v>
      </c>
      <c r="O46" s="416">
        <v>956</v>
      </c>
      <c r="P46" s="416"/>
      <c r="Q46" s="546">
        <f t="shared" si="5"/>
        <v>956</v>
      </c>
      <c r="R46" s="615">
        <v>0.2</v>
      </c>
      <c r="S46" s="845">
        <f t="shared" si="6"/>
        <v>191.20000000000002</v>
      </c>
      <c r="T46" s="848">
        <v>50</v>
      </c>
      <c r="U46" s="416">
        <v>17</v>
      </c>
      <c r="V46" s="416"/>
      <c r="W46" s="546">
        <f t="shared" si="7"/>
        <v>17</v>
      </c>
      <c r="X46" s="615">
        <v>0</v>
      </c>
      <c r="Y46" s="845">
        <f t="shared" si="8"/>
        <v>0</v>
      </c>
      <c r="Z46" s="852">
        <v>0</v>
      </c>
      <c r="AA46" s="838">
        <v>1143.74</v>
      </c>
      <c r="AB46" s="838">
        <v>0</v>
      </c>
      <c r="AC46" s="838"/>
      <c r="AD46" s="555">
        <f t="shared" si="16"/>
        <v>1143.74</v>
      </c>
      <c r="AE46" s="839">
        <v>0.5</v>
      </c>
      <c r="AF46" s="556">
        <f t="shared" si="1"/>
        <v>571.87</v>
      </c>
      <c r="AG46" s="556">
        <f t="shared" si="9"/>
        <v>571.87</v>
      </c>
      <c r="AH46" s="561">
        <f t="shared" si="17"/>
        <v>0.5</v>
      </c>
      <c r="AI46" s="555">
        <f t="shared" si="2"/>
        <v>139.68077530092938</v>
      </c>
      <c r="AJ46" s="556">
        <f t="shared" si="10"/>
        <v>139.68077530092938</v>
      </c>
      <c r="AK46" s="556"/>
      <c r="AL46" s="556"/>
      <c r="AM46" s="556"/>
      <c r="AN46" s="556">
        <f t="shared" si="11"/>
        <v>208.27400000000003</v>
      </c>
      <c r="AO46" s="840">
        <f t="shared" si="3"/>
        <v>50</v>
      </c>
      <c r="AP46" s="830"/>
      <c r="AQ46" s="416"/>
      <c r="AR46" s="841"/>
    </row>
    <row r="47" spans="1:44" ht="20.25">
      <c r="A47" s="921">
        <v>17</v>
      </c>
      <c r="B47" s="921" t="s">
        <v>318</v>
      </c>
      <c r="C47" s="843" t="s">
        <v>537</v>
      </c>
      <c r="D47" s="844">
        <v>425.333728</v>
      </c>
      <c r="E47" s="841">
        <v>1701</v>
      </c>
      <c r="F47" s="844">
        <v>605.72</v>
      </c>
      <c r="G47" s="844">
        <v>417</v>
      </c>
      <c r="H47" s="844">
        <f t="shared" si="19"/>
        <v>56.38627200000002</v>
      </c>
      <c r="I47" s="822" t="s">
        <v>207</v>
      </c>
      <c r="J47" s="847">
        <v>56.38627200000002</v>
      </c>
      <c r="K47" s="845"/>
      <c r="L47" s="845">
        <f t="shared" si="4"/>
        <v>56.38627200000002</v>
      </c>
      <c r="M47" s="615">
        <v>0</v>
      </c>
      <c r="N47" s="848">
        <f t="shared" si="18"/>
        <v>0</v>
      </c>
      <c r="O47" s="416">
        <v>124</v>
      </c>
      <c r="P47" s="416"/>
      <c r="Q47" s="546">
        <f t="shared" si="5"/>
        <v>124</v>
      </c>
      <c r="R47" s="615">
        <v>0.25</v>
      </c>
      <c r="S47" s="845">
        <f t="shared" si="6"/>
        <v>31</v>
      </c>
      <c r="T47" s="848">
        <v>50</v>
      </c>
      <c r="U47" s="416"/>
      <c r="V47" s="416"/>
      <c r="W47" s="546">
        <f t="shared" si="7"/>
        <v>0</v>
      </c>
      <c r="X47" s="615">
        <v>0</v>
      </c>
      <c r="Y47" s="845">
        <f t="shared" si="8"/>
        <v>0</v>
      </c>
      <c r="Z47" s="848"/>
      <c r="AA47" s="838">
        <v>180.38627200000002</v>
      </c>
      <c r="AB47" s="838">
        <v>0</v>
      </c>
      <c r="AC47" s="838"/>
      <c r="AD47" s="555">
        <f t="shared" si="16"/>
        <v>180.38627200000002</v>
      </c>
      <c r="AE47" s="839">
        <v>1</v>
      </c>
      <c r="AF47" s="556">
        <f t="shared" si="1"/>
        <v>180.38627200000002</v>
      </c>
      <c r="AG47" s="556">
        <f t="shared" si="9"/>
        <v>180.38627200000002</v>
      </c>
      <c r="AH47" s="561">
        <f t="shared" si="17"/>
        <v>1</v>
      </c>
      <c r="AI47" s="555">
        <f t="shared" si="2"/>
        <v>44.05982885376805</v>
      </c>
      <c r="AJ47" s="556">
        <f t="shared" si="10"/>
        <v>44.05982885376805</v>
      </c>
      <c r="AK47" s="556"/>
      <c r="AL47" s="556"/>
      <c r="AM47" s="556"/>
      <c r="AN47" s="556">
        <f t="shared" si="11"/>
        <v>31</v>
      </c>
      <c r="AO47" s="840">
        <f t="shared" si="3"/>
        <v>50</v>
      </c>
      <c r="AP47" s="830"/>
      <c r="AQ47" s="416"/>
      <c r="AR47" s="841"/>
    </row>
    <row r="48" spans="1:44" ht="20.25">
      <c r="A48" s="921">
        <v>17</v>
      </c>
      <c r="B48" s="921" t="s">
        <v>282</v>
      </c>
      <c r="C48" s="843" t="s">
        <v>538</v>
      </c>
      <c r="D48" s="844">
        <v>0</v>
      </c>
      <c r="E48" s="841">
        <v>1751</v>
      </c>
      <c r="F48" s="844">
        <v>377.29</v>
      </c>
      <c r="G48" s="844"/>
      <c r="H48" s="844"/>
      <c r="I48" s="822" t="s">
        <v>207</v>
      </c>
      <c r="J48" s="847"/>
      <c r="K48" s="845"/>
      <c r="L48" s="845">
        <f t="shared" si="4"/>
        <v>0</v>
      </c>
      <c r="M48" s="615"/>
      <c r="N48" s="848">
        <f t="shared" si="18"/>
        <v>0</v>
      </c>
      <c r="O48" s="416">
        <v>322</v>
      </c>
      <c r="P48" s="416"/>
      <c r="Q48" s="546">
        <f t="shared" si="5"/>
        <v>322</v>
      </c>
      <c r="R48" s="615">
        <v>0.25</v>
      </c>
      <c r="S48" s="845">
        <f t="shared" si="6"/>
        <v>80.5</v>
      </c>
      <c r="T48" s="848"/>
      <c r="U48" s="416">
        <v>55</v>
      </c>
      <c r="V48" s="416"/>
      <c r="W48" s="546">
        <f t="shared" si="7"/>
        <v>55</v>
      </c>
      <c r="X48" s="615">
        <v>0</v>
      </c>
      <c r="Y48" s="845">
        <f t="shared" si="8"/>
        <v>0</v>
      </c>
      <c r="Z48" s="848">
        <v>50</v>
      </c>
      <c r="AA48" s="838">
        <v>377</v>
      </c>
      <c r="AB48" s="838">
        <v>0</v>
      </c>
      <c r="AC48" s="838"/>
      <c r="AD48" s="555">
        <f t="shared" si="16"/>
        <v>377</v>
      </c>
      <c r="AE48" s="839">
        <v>2</v>
      </c>
      <c r="AF48" s="556">
        <f t="shared" si="1"/>
        <v>754</v>
      </c>
      <c r="AG48" s="556">
        <f t="shared" si="9"/>
        <v>754</v>
      </c>
      <c r="AH48" s="561">
        <f t="shared" si="17"/>
        <v>2</v>
      </c>
      <c r="AI48" s="555">
        <f t="shared" si="2"/>
        <v>184.16651437721993</v>
      </c>
      <c r="AJ48" s="556">
        <f t="shared" si="10"/>
        <v>184.16651437721993</v>
      </c>
      <c r="AK48" s="556"/>
      <c r="AL48" s="556"/>
      <c r="AM48" s="556"/>
      <c r="AN48" s="556">
        <f t="shared" si="11"/>
        <v>80.5</v>
      </c>
      <c r="AO48" s="840">
        <f t="shared" si="3"/>
        <v>50</v>
      </c>
      <c r="AP48" s="830"/>
      <c r="AQ48" s="416"/>
      <c r="AR48" s="841"/>
    </row>
    <row r="49" spans="1:44" ht="20.25">
      <c r="A49" s="921">
        <v>17</v>
      </c>
      <c r="B49" s="921" t="s">
        <v>283</v>
      </c>
      <c r="C49" s="843" t="s">
        <v>539</v>
      </c>
      <c r="D49" s="844">
        <v>0</v>
      </c>
      <c r="E49" s="841">
        <v>1752</v>
      </c>
      <c r="F49" s="844">
        <v>231.08</v>
      </c>
      <c r="G49" s="844"/>
      <c r="H49" s="844">
        <f>+F49-D49-O49-U49</f>
        <v>3.0800000000000125</v>
      </c>
      <c r="I49" s="822" t="s">
        <v>207</v>
      </c>
      <c r="J49" s="847">
        <v>2.5800000000000125</v>
      </c>
      <c r="K49" s="845"/>
      <c r="L49" s="845">
        <f t="shared" si="4"/>
        <v>2.5800000000000125</v>
      </c>
      <c r="M49" s="615">
        <v>0</v>
      </c>
      <c r="N49" s="848">
        <f t="shared" si="18"/>
        <v>0</v>
      </c>
      <c r="O49" s="416">
        <v>228</v>
      </c>
      <c r="P49" s="416"/>
      <c r="Q49" s="546">
        <f t="shared" si="5"/>
        <v>228</v>
      </c>
      <c r="R49" s="615">
        <v>0.25</v>
      </c>
      <c r="S49" s="845">
        <f t="shared" si="6"/>
        <v>57</v>
      </c>
      <c r="T49" s="848">
        <v>50</v>
      </c>
      <c r="U49" s="416"/>
      <c r="V49" s="416"/>
      <c r="W49" s="546">
        <f t="shared" si="7"/>
        <v>0</v>
      </c>
      <c r="X49" s="615">
        <v>0</v>
      </c>
      <c r="Y49" s="845">
        <f t="shared" si="8"/>
        <v>0</v>
      </c>
      <c r="Z49" s="848">
        <v>0</v>
      </c>
      <c r="AA49" s="838">
        <v>230.58</v>
      </c>
      <c r="AB49" s="838">
        <v>0</v>
      </c>
      <c r="AC49" s="838"/>
      <c r="AD49" s="555">
        <f t="shared" si="16"/>
        <v>230.58</v>
      </c>
      <c r="AE49" s="839">
        <v>0.5</v>
      </c>
      <c r="AF49" s="556">
        <f t="shared" si="1"/>
        <v>115.29</v>
      </c>
      <c r="AG49" s="556">
        <f t="shared" si="9"/>
        <v>115.29</v>
      </c>
      <c r="AH49" s="561">
        <f t="shared" si="17"/>
        <v>0.5</v>
      </c>
      <c r="AI49" s="555">
        <f t="shared" si="2"/>
        <v>28.159890507360327</v>
      </c>
      <c r="AJ49" s="556">
        <f t="shared" si="10"/>
        <v>28.159890507360327</v>
      </c>
      <c r="AK49" s="556"/>
      <c r="AL49" s="556"/>
      <c r="AM49" s="556"/>
      <c r="AN49" s="556">
        <f t="shared" si="11"/>
        <v>57</v>
      </c>
      <c r="AO49" s="840">
        <f t="shared" si="3"/>
        <v>50</v>
      </c>
      <c r="AP49" s="830"/>
      <c r="AQ49" s="416"/>
      <c r="AR49" s="841"/>
    </row>
    <row r="50" spans="1:44" ht="20.25">
      <c r="A50" s="921">
        <v>18</v>
      </c>
      <c r="B50" s="921" t="s">
        <v>241</v>
      </c>
      <c r="C50" s="843" t="s">
        <v>540</v>
      </c>
      <c r="D50" s="844">
        <v>64.69</v>
      </c>
      <c r="E50" s="841">
        <v>1801</v>
      </c>
      <c r="F50" s="844">
        <v>64.72</v>
      </c>
      <c r="G50" s="844">
        <v>64</v>
      </c>
      <c r="H50" s="844"/>
      <c r="I50" s="822" t="s">
        <v>207</v>
      </c>
      <c r="J50" s="836"/>
      <c r="L50" s="845">
        <f t="shared" si="4"/>
        <v>0</v>
      </c>
      <c r="N50" s="837">
        <f t="shared" si="18"/>
        <v>0</v>
      </c>
      <c r="O50" s="416"/>
      <c r="P50" s="416"/>
      <c r="Q50" s="546">
        <f t="shared" si="5"/>
        <v>0</v>
      </c>
      <c r="S50" s="546">
        <f t="shared" si="6"/>
        <v>0</v>
      </c>
      <c r="T50" s="837"/>
      <c r="U50" s="416"/>
      <c r="V50" s="416"/>
      <c r="W50" s="546">
        <f t="shared" si="7"/>
        <v>0</v>
      </c>
      <c r="Y50" s="546">
        <f t="shared" si="8"/>
        <v>0</v>
      </c>
      <c r="Z50" s="837"/>
      <c r="AA50" s="838"/>
      <c r="AB50" s="838"/>
      <c r="AC50" s="838"/>
      <c r="AD50" s="555"/>
      <c r="AE50" s="839"/>
      <c r="AF50" s="556">
        <f t="shared" si="1"/>
        <v>0</v>
      </c>
      <c r="AG50" s="556">
        <f t="shared" si="9"/>
        <v>0</v>
      </c>
      <c r="AH50" s="561"/>
      <c r="AI50" s="555">
        <f t="shared" si="2"/>
        <v>0</v>
      </c>
      <c r="AJ50" s="556">
        <f t="shared" si="10"/>
        <v>0</v>
      </c>
      <c r="AK50" s="556"/>
      <c r="AL50" s="556"/>
      <c r="AM50" s="556"/>
      <c r="AN50" s="556">
        <f t="shared" si="11"/>
        <v>0</v>
      </c>
      <c r="AO50" s="840">
        <f t="shared" si="3"/>
        <v>0</v>
      </c>
      <c r="AP50" s="830"/>
      <c r="AQ50" s="416"/>
      <c r="AR50" s="841"/>
    </row>
    <row r="51" spans="1:44" ht="20.25">
      <c r="A51" s="921">
        <v>18</v>
      </c>
      <c r="B51" s="921" t="s">
        <v>279</v>
      </c>
      <c r="C51" s="843" t="s">
        <v>541</v>
      </c>
      <c r="D51" s="844">
        <v>785.9468869799999</v>
      </c>
      <c r="E51" s="841">
        <v>1802</v>
      </c>
      <c r="F51" s="844">
        <v>1614.34</v>
      </c>
      <c r="G51" s="844">
        <v>754</v>
      </c>
      <c r="H51" s="844">
        <f aca="true" t="shared" si="20" ref="H51:H57">+F51-D51-O51-U51</f>
        <v>554.39311302</v>
      </c>
      <c r="I51" s="822" t="s">
        <v>207</v>
      </c>
      <c r="J51" s="847">
        <v>552.29311302</v>
      </c>
      <c r="K51" s="845"/>
      <c r="L51" s="845">
        <f t="shared" si="4"/>
        <v>552.29311302</v>
      </c>
      <c r="M51" s="615">
        <v>0</v>
      </c>
      <c r="N51" s="848">
        <f t="shared" si="18"/>
        <v>0</v>
      </c>
      <c r="O51" s="416">
        <v>274</v>
      </c>
      <c r="P51" s="416"/>
      <c r="Q51" s="546">
        <f t="shared" si="5"/>
        <v>274</v>
      </c>
      <c r="R51" s="615">
        <v>0.25</v>
      </c>
      <c r="S51" s="845">
        <f t="shared" si="6"/>
        <v>68.5</v>
      </c>
      <c r="T51" s="848">
        <v>50</v>
      </c>
      <c r="U51" s="416"/>
      <c r="V51" s="416"/>
      <c r="W51" s="546">
        <f t="shared" si="7"/>
        <v>0</v>
      </c>
      <c r="X51" s="615">
        <v>0</v>
      </c>
      <c r="Y51" s="845">
        <f t="shared" si="8"/>
        <v>0</v>
      </c>
      <c r="Z51" s="848"/>
      <c r="AA51" s="838">
        <v>826.29311302</v>
      </c>
      <c r="AB51" s="838">
        <v>0</v>
      </c>
      <c r="AC51" s="838"/>
      <c r="AD51" s="555">
        <f t="shared" si="16"/>
        <v>826.29311302</v>
      </c>
      <c r="AE51" s="839">
        <v>0.4</v>
      </c>
      <c r="AF51" s="556">
        <f t="shared" si="1"/>
        <v>330.517245208</v>
      </c>
      <c r="AG51" s="556">
        <f t="shared" si="9"/>
        <v>330.517245208</v>
      </c>
      <c r="AH51" s="561">
        <f t="shared" si="17"/>
        <v>0.4</v>
      </c>
      <c r="AI51" s="555">
        <f t="shared" si="2"/>
        <v>80.7297201479022</v>
      </c>
      <c r="AJ51" s="556">
        <f t="shared" si="10"/>
        <v>80.7297201479022</v>
      </c>
      <c r="AK51" s="556"/>
      <c r="AL51" s="556"/>
      <c r="AM51" s="556"/>
      <c r="AN51" s="556">
        <f t="shared" si="11"/>
        <v>68.5</v>
      </c>
      <c r="AO51" s="840">
        <f t="shared" si="3"/>
        <v>50</v>
      </c>
      <c r="AP51" s="830"/>
      <c r="AQ51" s="416"/>
      <c r="AR51" s="841"/>
    </row>
    <row r="52" spans="1:44" ht="20.25">
      <c r="A52" s="921">
        <v>18</v>
      </c>
      <c r="B52" s="921" t="s">
        <v>277</v>
      </c>
      <c r="C52" s="843" t="s">
        <v>542</v>
      </c>
      <c r="D52" s="844">
        <v>871.51554</v>
      </c>
      <c r="E52" s="841">
        <v>1803</v>
      </c>
      <c r="F52" s="844">
        <v>1170.14</v>
      </c>
      <c r="G52" s="844">
        <v>1007</v>
      </c>
      <c r="H52" s="844">
        <f t="shared" si="20"/>
        <v>298.6244600000001</v>
      </c>
      <c r="I52" s="822" t="s">
        <v>207</v>
      </c>
      <c r="J52" s="847">
        <v>298.6244600000001</v>
      </c>
      <c r="K52" s="845"/>
      <c r="L52" s="845">
        <f t="shared" si="4"/>
        <v>298.6244600000001</v>
      </c>
      <c r="M52" s="615">
        <v>0.2</v>
      </c>
      <c r="N52" s="848">
        <f t="shared" si="18"/>
        <v>59.724892000000025</v>
      </c>
      <c r="O52" s="416"/>
      <c r="P52" s="416"/>
      <c r="Q52" s="546">
        <f t="shared" si="5"/>
        <v>0</v>
      </c>
      <c r="R52" s="615"/>
      <c r="S52" s="845">
        <f t="shared" si="6"/>
        <v>0</v>
      </c>
      <c r="T52" s="848"/>
      <c r="U52" s="416"/>
      <c r="V52" s="416"/>
      <c r="W52" s="546">
        <f t="shared" si="7"/>
        <v>0</v>
      </c>
      <c r="X52" s="615">
        <v>0</v>
      </c>
      <c r="Y52" s="845">
        <f t="shared" si="8"/>
        <v>0</v>
      </c>
      <c r="Z52" s="848"/>
      <c r="AA52" s="838">
        <v>298.6244600000001</v>
      </c>
      <c r="AB52" s="838">
        <v>0</v>
      </c>
      <c r="AC52" s="838"/>
      <c r="AD52" s="555">
        <f t="shared" si="16"/>
        <v>298.6244600000001</v>
      </c>
      <c r="AE52" s="839">
        <v>0.5</v>
      </c>
      <c r="AF52" s="556">
        <f t="shared" si="1"/>
        <v>149.31223000000006</v>
      </c>
      <c r="AG52" s="556">
        <f t="shared" si="9"/>
        <v>149.31223000000006</v>
      </c>
      <c r="AH52" s="561">
        <f t="shared" si="17"/>
        <v>0.5</v>
      </c>
      <c r="AI52" s="555">
        <f t="shared" si="2"/>
        <v>36.46991107823578</v>
      </c>
      <c r="AJ52" s="556">
        <f t="shared" si="10"/>
        <v>36.46991107823578</v>
      </c>
      <c r="AK52" s="556"/>
      <c r="AL52" s="556"/>
      <c r="AM52" s="556"/>
      <c r="AN52" s="556">
        <f t="shared" si="11"/>
        <v>59.724892000000025</v>
      </c>
      <c r="AO52" s="840">
        <f t="shared" si="3"/>
        <v>0</v>
      </c>
      <c r="AP52" s="830"/>
      <c r="AQ52" s="416"/>
      <c r="AR52" s="841"/>
    </row>
    <row r="53" spans="1:44" ht="20.25">
      <c r="A53" s="921">
        <v>18</v>
      </c>
      <c r="B53" s="921" t="s">
        <v>276</v>
      </c>
      <c r="C53" s="843" t="s">
        <v>543</v>
      </c>
      <c r="D53" s="844">
        <v>551.53590136</v>
      </c>
      <c r="E53" s="841">
        <v>1804</v>
      </c>
      <c r="F53" s="844">
        <v>587.41</v>
      </c>
      <c r="G53" s="844">
        <v>559</v>
      </c>
      <c r="H53" s="844">
        <f t="shared" si="20"/>
        <v>12.674098639999944</v>
      </c>
      <c r="I53" s="822" t="s">
        <v>207</v>
      </c>
      <c r="J53" s="847">
        <v>12.674098639999944</v>
      </c>
      <c r="K53" s="865"/>
      <c r="L53" s="845">
        <f t="shared" si="4"/>
        <v>12.674098639999944</v>
      </c>
      <c r="M53" s="615">
        <v>0</v>
      </c>
      <c r="N53" s="848">
        <f t="shared" si="18"/>
        <v>0</v>
      </c>
      <c r="O53" s="416">
        <v>11.7</v>
      </c>
      <c r="P53" s="866">
        <v>-11.7</v>
      </c>
      <c r="Q53" s="546">
        <f t="shared" si="5"/>
        <v>0</v>
      </c>
      <c r="R53" s="615">
        <v>0</v>
      </c>
      <c r="S53" s="845">
        <f t="shared" si="6"/>
        <v>0</v>
      </c>
      <c r="T53" s="848"/>
      <c r="U53" s="416">
        <v>11.5</v>
      </c>
      <c r="V53" s="866">
        <v>-11.5</v>
      </c>
      <c r="W53" s="546">
        <f t="shared" si="7"/>
        <v>0</v>
      </c>
      <c r="X53" s="615">
        <v>0</v>
      </c>
      <c r="Y53" s="845">
        <f t="shared" si="8"/>
        <v>0</v>
      </c>
      <c r="Z53" s="848">
        <v>0</v>
      </c>
      <c r="AA53" s="838">
        <v>35.87409863999994</v>
      </c>
      <c r="AB53" s="838">
        <v>-23.2</v>
      </c>
      <c r="AC53" s="838"/>
      <c r="AD53" s="555">
        <f t="shared" si="16"/>
        <v>12.674098639999944</v>
      </c>
      <c r="AE53" s="839">
        <v>0</v>
      </c>
      <c r="AF53" s="556">
        <f t="shared" si="1"/>
        <v>0</v>
      </c>
      <c r="AG53" s="556">
        <f t="shared" si="9"/>
        <v>0</v>
      </c>
      <c r="AH53" s="561">
        <f t="shared" si="17"/>
        <v>0</v>
      </c>
      <c r="AI53" s="555">
        <f t="shared" si="2"/>
        <v>0</v>
      </c>
      <c r="AJ53" s="556">
        <f t="shared" si="10"/>
        <v>0</v>
      </c>
      <c r="AK53" s="556"/>
      <c r="AL53" s="556"/>
      <c r="AM53" s="556"/>
      <c r="AN53" s="556">
        <f t="shared" si="11"/>
        <v>0</v>
      </c>
      <c r="AO53" s="840">
        <f t="shared" si="3"/>
        <v>0</v>
      </c>
      <c r="AP53" s="830"/>
      <c r="AQ53" s="416"/>
      <c r="AR53" s="841"/>
    </row>
    <row r="54" spans="1:44" ht="20.25">
      <c r="A54" s="921">
        <v>18</v>
      </c>
      <c r="B54" s="921" t="s">
        <v>278</v>
      </c>
      <c r="C54" s="843" t="s">
        <v>544</v>
      </c>
      <c r="D54" s="844">
        <v>1.7489236799999999</v>
      </c>
      <c r="E54" s="841">
        <v>1805</v>
      </c>
      <c r="F54" s="844">
        <v>315.2</v>
      </c>
      <c r="G54" s="844">
        <v>7</v>
      </c>
      <c r="H54" s="844">
        <f t="shared" si="20"/>
        <v>303.45107631999997</v>
      </c>
      <c r="I54" s="822" t="s">
        <v>207</v>
      </c>
      <c r="J54" s="847">
        <v>303.05107632</v>
      </c>
      <c r="K54" s="845"/>
      <c r="L54" s="845">
        <f t="shared" si="4"/>
        <v>303.05107632</v>
      </c>
      <c r="M54" s="615">
        <v>0.2</v>
      </c>
      <c r="N54" s="848">
        <f t="shared" si="18"/>
        <v>60.610215264000004</v>
      </c>
      <c r="O54" s="416">
        <v>10</v>
      </c>
      <c r="P54" s="416"/>
      <c r="Q54" s="546">
        <f t="shared" si="5"/>
        <v>10</v>
      </c>
      <c r="R54" s="615">
        <v>0.2</v>
      </c>
      <c r="S54" s="845">
        <f t="shared" si="6"/>
        <v>2</v>
      </c>
      <c r="T54" s="848"/>
      <c r="U54" s="416"/>
      <c r="V54" s="416"/>
      <c r="W54" s="546">
        <f t="shared" si="7"/>
        <v>0</v>
      </c>
      <c r="X54" s="615">
        <v>0</v>
      </c>
      <c r="Y54" s="845">
        <f t="shared" si="8"/>
        <v>0</v>
      </c>
      <c r="Z54" s="848"/>
      <c r="AA54" s="838">
        <v>313.05107632</v>
      </c>
      <c r="AB54" s="838">
        <v>0</v>
      </c>
      <c r="AC54" s="838"/>
      <c r="AD54" s="555">
        <f t="shared" si="16"/>
        <v>313.05107632</v>
      </c>
      <c r="AE54" s="839">
        <v>0.75</v>
      </c>
      <c r="AF54" s="556">
        <f t="shared" si="1"/>
        <v>234.78830724</v>
      </c>
      <c r="AG54" s="556">
        <f t="shared" si="9"/>
        <v>234.78830724</v>
      </c>
      <c r="AH54" s="561">
        <f t="shared" si="17"/>
        <v>0.75</v>
      </c>
      <c r="AI54" s="555">
        <f t="shared" si="2"/>
        <v>57.34767130095304</v>
      </c>
      <c r="AJ54" s="556">
        <f t="shared" si="10"/>
        <v>57.34767130095304</v>
      </c>
      <c r="AK54" s="556"/>
      <c r="AL54" s="556"/>
      <c r="AM54" s="556"/>
      <c r="AN54" s="556">
        <f t="shared" si="11"/>
        <v>62.610215264000004</v>
      </c>
      <c r="AO54" s="840">
        <f t="shared" si="3"/>
        <v>0</v>
      </c>
      <c r="AP54" s="830"/>
      <c r="AQ54" s="416"/>
      <c r="AR54" s="841"/>
    </row>
    <row r="55" spans="1:44" ht="20.25">
      <c r="A55" s="921">
        <v>18</v>
      </c>
      <c r="B55" s="921" t="s">
        <v>319</v>
      </c>
      <c r="C55" s="843" t="s">
        <v>545</v>
      </c>
      <c r="D55" s="844">
        <v>32.4512032</v>
      </c>
      <c r="E55" s="841">
        <v>1806</v>
      </c>
      <c r="F55" s="844">
        <v>210.18</v>
      </c>
      <c r="G55" s="844">
        <v>4</v>
      </c>
      <c r="H55" s="844">
        <f t="shared" si="20"/>
        <v>177.7287968</v>
      </c>
      <c r="I55" s="822" t="s">
        <v>207</v>
      </c>
      <c r="J55" s="847">
        <v>177.7287968</v>
      </c>
      <c r="K55" s="845"/>
      <c r="L55" s="845">
        <f t="shared" si="4"/>
        <v>177.7287968</v>
      </c>
      <c r="M55" s="615">
        <v>0.2</v>
      </c>
      <c r="N55" s="848">
        <f t="shared" si="18"/>
        <v>35.54575936</v>
      </c>
      <c r="O55" s="416"/>
      <c r="P55" s="416"/>
      <c r="Q55" s="546">
        <f t="shared" si="5"/>
        <v>0</v>
      </c>
      <c r="R55" s="615"/>
      <c r="S55" s="845">
        <f t="shared" si="6"/>
        <v>0</v>
      </c>
      <c r="T55" s="848"/>
      <c r="U55" s="416"/>
      <c r="V55" s="416"/>
      <c r="W55" s="546">
        <f t="shared" si="7"/>
        <v>0</v>
      </c>
      <c r="X55" s="615">
        <v>0</v>
      </c>
      <c r="Y55" s="845">
        <f t="shared" si="8"/>
        <v>0</v>
      </c>
      <c r="Z55" s="848"/>
      <c r="AA55" s="838">
        <v>177.7287968</v>
      </c>
      <c r="AB55" s="838">
        <v>0</v>
      </c>
      <c r="AC55" s="838"/>
      <c r="AD55" s="555">
        <f t="shared" si="16"/>
        <v>177.7287968</v>
      </c>
      <c r="AE55" s="839">
        <v>0.4</v>
      </c>
      <c r="AF55" s="556">
        <f t="shared" si="1"/>
        <v>71.09151872</v>
      </c>
      <c r="AG55" s="556">
        <f t="shared" si="9"/>
        <v>71.09151872</v>
      </c>
      <c r="AH55" s="561">
        <f t="shared" si="17"/>
        <v>0.39999999999999997</v>
      </c>
      <c r="AI55" s="555">
        <f t="shared" si="2"/>
        <v>17.36429337459586</v>
      </c>
      <c r="AJ55" s="556">
        <f t="shared" si="10"/>
        <v>17.36429337459586</v>
      </c>
      <c r="AK55" s="556"/>
      <c r="AL55" s="556"/>
      <c r="AM55" s="556"/>
      <c r="AN55" s="556">
        <f t="shared" si="11"/>
        <v>35.54575936</v>
      </c>
      <c r="AO55" s="840">
        <f t="shared" si="3"/>
        <v>0</v>
      </c>
      <c r="AP55" s="830"/>
      <c r="AQ55" s="416"/>
      <c r="AR55" s="841"/>
    </row>
    <row r="56" spans="1:44" ht="20.25">
      <c r="A56" s="921">
        <v>18</v>
      </c>
      <c r="B56" s="921" t="s">
        <v>320</v>
      </c>
      <c r="C56" s="843" t="s">
        <v>546</v>
      </c>
      <c r="D56" s="844">
        <v>235.42275889000004</v>
      </c>
      <c r="E56" s="841">
        <v>1810</v>
      </c>
      <c r="F56" s="844">
        <v>2618</v>
      </c>
      <c r="G56" s="844">
        <v>304</v>
      </c>
      <c r="H56" s="844">
        <f t="shared" si="20"/>
        <v>984.8772411100001</v>
      </c>
      <c r="I56" s="822" t="s">
        <v>207</v>
      </c>
      <c r="J56" s="847">
        <f>1048.82724111-75</f>
        <v>973.8272411099999</v>
      </c>
      <c r="K56" s="845"/>
      <c r="L56" s="845">
        <f t="shared" si="4"/>
        <v>973.8272411099999</v>
      </c>
      <c r="M56" s="860">
        <v>0.25</v>
      </c>
      <c r="N56" s="857">
        <f t="shared" si="18"/>
        <v>243.45681027749998</v>
      </c>
      <c r="O56" s="416">
        <f>1332.7+65</f>
        <v>1397.7</v>
      </c>
      <c r="P56" s="416"/>
      <c r="Q56" s="546">
        <f t="shared" si="5"/>
        <v>1397.7</v>
      </c>
      <c r="R56" s="860">
        <v>0.434</v>
      </c>
      <c r="S56" s="857">
        <f t="shared" si="6"/>
        <v>606.6018</v>
      </c>
      <c r="T56" s="848">
        <v>550</v>
      </c>
      <c r="U56" s="416"/>
      <c r="V56" s="416"/>
      <c r="W56" s="546">
        <f t="shared" si="7"/>
        <v>0</v>
      </c>
      <c r="X56" s="615">
        <v>0</v>
      </c>
      <c r="Y56" s="845">
        <f t="shared" si="8"/>
        <v>0</v>
      </c>
      <c r="Z56" s="848">
        <v>700</v>
      </c>
      <c r="AA56" s="838">
        <v>2371.52724111</v>
      </c>
      <c r="AB56" s="838">
        <v>0</v>
      </c>
      <c r="AC56" s="838">
        <v>250</v>
      </c>
      <c r="AD56" s="555">
        <f t="shared" si="16"/>
        <v>2621.52724111</v>
      </c>
      <c r="AE56" s="839">
        <v>1.3768</v>
      </c>
      <c r="AF56" s="556">
        <f t="shared" si="1"/>
        <v>3609.318705560248</v>
      </c>
      <c r="AG56" s="556">
        <f t="shared" si="9"/>
        <v>3859.318705560248</v>
      </c>
      <c r="AH56" s="561">
        <f t="shared" si="17"/>
        <v>1.6273558400087713</v>
      </c>
      <c r="AI56" s="555">
        <f t="shared" si="2"/>
        <v>881.5857364450003</v>
      </c>
      <c r="AJ56" s="556">
        <f t="shared" si="10"/>
        <v>1131.5857364450003</v>
      </c>
      <c r="AK56" s="556"/>
      <c r="AL56" s="556"/>
      <c r="AM56" s="556"/>
      <c r="AN56" s="556">
        <f t="shared" si="11"/>
        <v>850.0586102775001</v>
      </c>
      <c r="AO56" s="840">
        <f t="shared" si="3"/>
        <v>1250</v>
      </c>
      <c r="AP56" s="830">
        <v>744</v>
      </c>
      <c r="AQ56" s="416"/>
      <c r="AR56" s="841"/>
    </row>
    <row r="57" spans="1:44" ht="20.25">
      <c r="A57" s="921">
        <v>19</v>
      </c>
      <c r="B57" s="921" t="s">
        <v>242</v>
      </c>
      <c r="C57" s="843" t="s">
        <v>547</v>
      </c>
      <c r="D57" s="844">
        <v>2042.4258768000002</v>
      </c>
      <c r="E57" s="841">
        <v>1901</v>
      </c>
      <c r="F57" s="844">
        <v>2621</v>
      </c>
      <c r="G57" s="844">
        <v>2008</v>
      </c>
      <c r="H57" s="844">
        <f t="shared" si="20"/>
        <v>174.0741231999998</v>
      </c>
      <c r="I57" s="822" t="s">
        <v>207</v>
      </c>
      <c r="J57" s="847">
        <v>172.2641231999997</v>
      </c>
      <c r="K57" s="845"/>
      <c r="L57" s="845">
        <f t="shared" si="4"/>
        <v>172.2641231999997</v>
      </c>
      <c r="M57" s="615">
        <v>0.05</v>
      </c>
      <c r="N57" s="848">
        <f t="shared" si="18"/>
        <v>8.613206159999985</v>
      </c>
      <c r="O57" s="416">
        <v>251.5</v>
      </c>
      <c r="P57" s="416"/>
      <c r="Q57" s="546">
        <f t="shared" si="5"/>
        <v>251.5</v>
      </c>
      <c r="R57" s="615">
        <v>0.05</v>
      </c>
      <c r="S57" s="845">
        <f t="shared" si="6"/>
        <v>12.575000000000001</v>
      </c>
      <c r="T57" s="848"/>
      <c r="U57" s="416">
        <v>153</v>
      </c>
      <c r="V57" s="416"/>
      <c r="W57" s="546">
        <f t="shared" si="7"/>
        <v>153</v>
      </c>
      <c r="X57" s="615">
        <v>0</v>
      </c>
      <c r="Y57" s="845">
        <f t="shared" si="8"/>
        <v>0</v>
      </c>
      <c r="Z57" s="848">
        <v>200</v>
      </c>
      <c r="AA57" s="838">
        <v>576.7641231999996</v>
      </c>
      <c r="AB57" s="838">
        <v>0</v>
      </c>
      <c r="AC57" s="838"/>
      <c r="AD57" s="555">
        <f t="shared" si="16"/>
        <v>576.7641231999996</v>
      </c>
      <c r="AE57" s="839">
        <v>0.2</v>
      </c>
      <c r="AF57" s="556">
        <f t="shared" si="1"/>
        <v>115.35282463999994</v>
      </c>
      <c r="AG57" s="556">
        <f t="shared" si="9"/>
        <v>115.35282463999994</v>
      </c>
      <c r="AH57" s="561">
        <f t="shared" si="17"/>
        <v>0.2</v>
      </c>
      <c r="AI57" s="555">
        <f t="shared" si="2"/>
        <v>28.175235593521855</v>
      </c>
      <c r="AJ57" s="556">
        <f t="shared" si="10"/>
        <v>28.175235593521855</v>
      </c>
      <c r="AK57" s="556"/>
      <c r="AL57" s="556"/>
      <c r="AM57" s="556"/>
      <c r="AN57" s="556">
        <f t="shared" si="11"/>
        <v>21.188206159999986</v>
      </c>
      <c r="AO57" s="840">
        <f t="shared" si="3"/>
        <v>200</v>
      </c>
      <c r="AP57" s="830"/>
      <c r="AQ57" s="416"/>
      <c r="AR57" s="841"/>
    </row>
    <row r="58" spans="1:44" ht="20.25">
      <c r="A58" s="921">
        <v>2</v>
      </c>
      <c r="B58" s="921" t="s">
        <v>284</v>
      </c>
      <c r="C58" s="843" t="s">
        <v>548</v>
      </c>
      <c r="D58" s="844">
        <v>62.8972</v>
      </c>
      <c r="E58" s="841">
        <v>2001</v>
      </c>
      <c r="F58" s="844">
        <v>62.89</v>
      </c>
      <c r="G58" s="844">
        <v>63</v>
      </c>
      <c r="H58" s="844"/>
      <c r="I58" s="822" t="s">
        <v>207</v>
      </c>
      <c r="J58" s="836"/>
      <c r="L58" s="845">
        <f t="shared" si="4"/>
        <v>0</v>
      </c>
      <c r="N58" s="837">
        <f t="shared" si="18"/>
        <v>0</v>
      </c>
      <c r="O58" s="416"/>
      <c r="P58" s="416"/>
      <c r="Q58" s="546">
        <f t="shared" si="5"/>
        <v>0</v>
      </c>
      <c r="S58" s="546">
        <f t="shared" si="6"/>
        <v>0</v>
      </c>
      <c r="T58" s="837"/>
      <c r="U58" s="416"/>
      <c r="V58" s="416"/>
      <c r="W58" s="546">
        <f t="shared" si="7"/>
        <v>0</v>
      </c>
      <c r="Y58" s="546">
        <f t="shared" si="8"/>
        <v>0</v>
      </c>
      <c r="Z58" s="837"/>
      <c r="AA58" s="838"/>
      <c r="AB58" s="838"/>
      <c r="AC58" s="838"/>
      <c r="AD58" s="555"/>
      <c r="AE58" s="839"/>
      <c r="AF58" s="556">
        <f t="shared" si="1"/>
        <v>0</v>
      </c>
      <c r="AG58" s="556">
        <f t="shared" si="9"/>
        <v>0</v>
      </c>
      <c r="AH58" s="561"/>
      <c r="AI58" s="555">
        <f t="shared" si="2"/>
        <v>0</v>
      </c>
      <c r="AJ58" s="556">
        <f t="shared" si="10"/>
        <v>0</v>
      </c>
      <c r="AK58" s="556"/>
      <c r="AL58" s="556"/>
      <c r="AM58" s="556"/>
      <c r="AN58" s="556">
        <f t="shared" si="11"/>
        <v>0</v>
      </c>
      <c r="AO58" s="840">
        <f t="shared" si="3"/>
        <v>0</v>
      </c>
      <c r="AP58" s="830"/>
      <c r="AQ58" s="416"/>
      <c r="AR58" s="841"/>
    </row>
    <row r="59" spans="1:44" ht="20.25">
      <c r="A59" s="921">
        <v>2</v>
      </c>
      <c r="B59" s="921" t="s">
        <v>243</v>
      </c>
      <c r="C59" s="843" t="s">
        <v>549</v>
      </c>
      <c r="D59" s="844">
        <v>0</v>
      </c>
      <c r="E59" s="841">
        <v>2101</v>
      </c>
      <c r="F59" s="844">
        <v>61.21</v>
      </c>
      <c r="G59" s="844"/>
      <c r="H59" s="844"/>
      <c r="I59" s="822" t="s">
        <v>207</v>
      </c>
      <c r="J59" s="847"/>
      <c r="K59" s="845"/>
      <c r="L59" s="845">
        <f t="shared" si="4"/>
        <v>0</v>
      </c>
      <c r="M59" s="615"/>
      <c r="N59" s="848">
        <f t="shared" si="18"/>
        <v>0</v>
      </c>
      <c r="O59" s="416">
        <v>61.2</v>
      </c>
      <c r="P59" s="416"/>
      <c r="Q59" s="546">
        <f t="shared" si="5"/>
        <v>61.2</v>
      </c>
      <c r="R59" s="615">
        <v>0.1</v>
      </c>
      <c r="S59" s="845">
        <f t="shared" si="6"/>
        <v>6.120000000000001</v>
      </c>
      <c r="T59" s="848"/>
      <c r="U59" s="416"/>
      <c r="V59" s="416"/>
      <c r="W59" s="546">
        <f t="shared" si="7"/>
        <v>0</v>
      </c>
      <c r="X59" s="615">
        <v>0</v>
      </c>
      <c r="Y59" s="845">
        <f t="shared" si="8"/>
        <v>0</v>
      </c>
      <c r="Z59" s="848"/>
      <c r="AA59" s="838">
        <v>61.2</v>
      </c>
      <c r="AB59" s="838">
        <v>0</v>
      </c>
      <c r="AC59" s="838"/>
      <c r="AD59" s="555">
        <f t="shared" si="16"/>
        <v>61.2</v>
      </c>
      <c r="AE59" s="839">
        <v>0.3</v>
      </c>
      <c r="AF59" s="556">
        <f t="shared" si="1"/>
        <v>18.36</v>
      </c>
      <c r="AG59" s="556">
        <f t="shared" si="9"/>
        <v>18.36</v>
      </c>
      <c r="AH59" s="561">
        <f t="shared" si="17"/>
        <v>0.3</v>
      </c>
      <c r="AI59" s="555">
        <f t="shared" si="2"/>
        <v>4.484479050352464</v>
      </c>
      <c r="AJ59" s="556">
        <f t="shared" si="10"/>
        <v>4.484479050352464</v>
      </c>
      <c r="AK59" s="556"/>
      <c r="AL59" s="556"/>
      <c r="AM59" s="556"/>
      <c r="AN59" s="556">
        <f t="shared" si="11"/>
        <v>6.120000000000001</v>
      </c>
      <c r="AO59" s="840">
        <f t="shared" si="3"/>
        <v>0</v>
      </c>
      <c r="AP59" s="830"/>
      <c r="AQ59" s="416"/>
      <c r="AR59" s="841"/>
    </row>
    <row r="60" spans="1:44" ht="20.25">
      <c r="A60" s="921">
        <v>2</v>
      </c>
      <c r="B60" s="921" t="s">
        <v>285</v>
      </c>
      <c r="C60" s="843" t="s">
        <v>550</v>
      </c>
      <c r="D60" s="844">
        <v>0</v>
      </c>
      <c r="E60" s="841">
        <v>2201</v>
      </c>
      <c r="F60" s="844">
        <v>77.22</v>
      </c>
      <c r="G60" s="844"/>
      <c r="H60" s="844"/>
      <c r="I60" s="822" t="s">
        <v>207</v>
      </c>
      <c r="J60" s="847"/>
      <c r="K60" s="845"/>
      <c r="L60" s="845">
        <f t="shared" si="4"/>
        <v>0</v>
      </c>
      <c r="M60" s="615"/>
      <c r="N60" s="848">
        <f t="shared" si="18"/>
        <v>0</v>
      </c>
      <c r="O60" s="416">
        <v>77</v>
      </c>
      <c r="P60" s="416"/>
      <c r="Q60" s="546">
        <f t="shared" si="5"/>
        <v>77</v>
      </c>
      <c r="R60" s="615">
        <v>0.1</v>
      </c>
      <c r="S60" s="845">
        <f t="shared" si="6"/>
        <v>7.7</v>
      </c>
      <c r="T60" s="848"/>
      <c r="U60" s="416"/>
      <c r="V60" s="416"/>
      <c r="W60" s="546">
        <f t="shared" si="7"/>
        <v>0</v>
      </c>
      <c r="X60" s="615">
        <v>0</v>
      </c>
      <c r="Y60" s="845">
        <f t="shared" si="8"/>
        <v>0</v>
      </c>
      <c r="Z60" s="848">
        <v>50</v>
      </c>
      <c r="AA60" s="838">
        <v>77</v>
      </c>
      <c r="AB60" s="838">
        <v>0</v>
      </c>
      <c r="AC60" s="838"/>
      <c r="AD60" s="555">
        <f t="shared" si="16"/>
        <v>77</v>
      </c>
      <c r="AE60" s="839">
        <v>0.3</v>
      </c>
      <c r="AF60" s="556">
        <f t="shared" si="1"/>
        <v>23.099999999999998</v>
      </c>
      <c r="AG60" s="556">
        <f t="shared" si="9"/>
        <v>23.099999999999998</v>
      </c>
      <c r="AH60" s="561">
        <f t="shared" si="17"/>
        <v>0.3</v>
      </c>
      <c r="AI60" s="555">
        <f t="shared" si="2"/>
        <v>5.642236713678754</v>
      </c>
      <c r="AJ60" s="556">
        <f t="shared" si="10"/>
        <v>5.642236713678754</v>
      </c>
      <c r="AK60" s="556"/>
      <c r="AL60" s="556"/>
      <c r="AM60" s="556"/>
      <c r="AN60" s="556">
        <f t="shared" si="11"/>
        <v>7.7</v>
      </c>
      <c r="AO60" s="840">
        <f t="shared" si="3"/>
        <v>50</v>
      </c>
      <c r="AP60" s="830"/>
      <c r="AQ60" s="416"/>
      <c r="AR60" s="841"/>
    </row>
    <row r="61" spans="1:44" ht="20.25">
      <c r="A61" s="921">
        <v>2</v>
      </c>
      <c r="B61" s="921" t="s">
        <v>244</v>
      </c>
      <c r="C61" s="843" t="s">
        <v>551</v>
      </c>
      <c r="D61" s="844">
        <v>285.01767</v>
      </c>
      <c r="E61" s="841">
        <v>2501</v>
      </c>
      <c r="F61" s="844">
        <v>285.01</v>
      </c>
      <c r="G61" s="844">
        <v>285</v>
      </c>
      <c r="H61" s="844"/>
      <c r="I61" s="822" t="s">
        <v>207</v>
      </c>
      <c r="J61" s="836"/>
      <c r="L61" s="845">
        <f t="shared" si="4"/>
        <v>0</v>
      </c>
      <c r="N61" s="837">
        <f t="shared" si="18"/>
        <v>0</v>
      </c>
      <c r="O61" s="416"/>
      <c r="P61" s="416"/>
      <c r="Q61" s="546">
        <f t="shared" si="5"/>
        <v>0</v>
      </c>
      <c r="S61" s="546">
        <f t="shared" si="6"/>
        <v>0</v>
      </c>
      <c r="T61" s="837"/>
      <c r="U61" s="416"/>
      <c r="V61" s="416"/>
      <c r="W61" s="546">
        <f t="shared" si="7"/>
        <v>0</v>
      </c>
      <c r="Y61" s="546">
        <f t="shared" si="8"/>
        <v>0</v>
      </c>
      <c r="Z61" s="837"/>
      <c r="AA61" s="838"/>
      <c r="AB61" s="838"/>
      <c r="AC61" s="838"/>
      <c r="AD61" s="555"/>
      <c r="AE61" s="839"/>
      <c r="AF61" s="556">
        <f t="shared" si="1"/>
        <v>0</v>
      </c>
      <c r="AG61" s="556">
        <f t="shared" si="9"/>
        <v>0</v>
      </c>
      <c r="AH61" s="561"/>
      <c r="AI61" s="555">
        <f t="shared" si="2"/>
        <v>0</v>
      </c>
      <c r="AJ61" s="556">
        <f t="shared" si="10"/>
        <v>0</v>
      </c>
      <c r="AK61" s="556"/>
      <c r="AL61" s="556"/>
      <c r="AM61" s="556"/>
      <c r="AN61" s="556">
        <f t="shared" si="11"/>
        <v>0</v>
      </c>
      <c r="AO61" s="840">
        <f t="shared" si="3"/>
        <v>0</v>
      </c>
      <c r="AP61" s="830"/>
      <c r="AQ61" s="416"/>
      <c r="AR61" s="841"/>
    </row>
    <row r="62" spans="1:44" ht="20.25">
      <c r="A62" s="921">
        <v>3</v>
      </c>
      <c r="B62" s="921" t="s">
        <v>286</v>
      </c>
      <c r="C62" s="843" t="s">
        <v>552</v>
      </c>
      <c r="D62" s="844">
        <v>387.7871251</v>
      </c>
      <c r="E62" s="841">
        <v>3101</v>
      </c>
      <c r="F62" s="844">
        <v>521.71</v>
      </c>
      <c r="G62" s="844">
        <v>481</v>
      </c>
      <c r="H62" s="844">
        <f>+F62-D62-O62-U62</f>
        <v>112.22287490000002</v>
      </c>
      <c r="I62" s="822" t="s">
        <v>207</v>
      </c>
      <c r="J62" s="847">
        <v>112.22287490000002</v>
      </c>
      <c r="K62" s="845"/>
      <c r="L62" s="845">
        <f t="shared" si="4"/>
        <v>112.22287490000002</v>
      </c>
      <c r="M62" s="615">
        <v>0.15</v>
      </c>
      <c r="N62" s="848">
        <f t="shared" si="18"/>
        <v>16.833431235000003</v>
      </c>
      <c r="O62" s="416">
        <v>21.6</v>
      </c>
      <c r="P62" s="416"/>
      <c r="Q62" s="546">
        <f t="shared" si="5"/>
        <v>21.6</v>
      </c>
      <c r="R62" s="615">
        <v>0.15</v>
      </c>
      <c r="S62" s="845">
        <f t="shared" si="6"/>
        <v>3.24</v>
      </c>
      <c r="T62" s="848">
        <v>0</v>
      </c>
      <c r="U62" s="416">
        <v>0.1</v>
      </c>
      <c r="V62" s="416"/>
      <c r="W62" s="546">
        <f t="shared" si="7"/>
        <v>0.1</v>
      </c>
      <c r="X62" s="615">
        <v>0</v>
      </c>
      <c r="Y62" s="845">
        <f t="shared" si="8"/>
        <v>0</v>
      </c>
      <c r="Z62" s="848"/>
      <c r="AA62" s="838">
        <v>133.9228749</v>
      </c>
      <c r="AB62" s="838">
        <v>0</v>
      </c>
      <c r="AC62" s="838"/>
      <c r="AD62" s="555">
        <f t="shared" si="16"/>
        <v>133.9228749</v>
      </c>
      <c r="AE62" s="839">
        <v>0.25</v>
      </c>
      <c r="AF62" s="556">
        <f t="shared" si="1"/>
        <v>33.480718725</v>
      </c>
      <c r="AG62" s="556">
        <f t="shared" si="9"/>
        <v>33.480718725</v>
      </c>
      <c r="AH62" s="561">
        <f t="shared" si="17"/>
        <v>0.25</v>
      </c>
      <c r="AI62" s="555">
        <f t="shared" si="2"/>
        <v>8.177754995261763</v>
      </c>
      <c r="AJ62" s="556">
        <f t="shared" si="10"/>
        <v>8.177754995261763</v>
      </c>
      <c r="AK62" s="556"/>
      <c r="AL62" s="556"/>
      <c r="AM62" s="556"/>
      <c r="AN62" s="556">
        <f t="shared" si="11"/>
        <v>20.073431235</v>
      </c>
      <c r="AO62" s="840">
        <f t="shared" si="3"/>
        <v>0</v>
      </c>
      <c r="AP62" s="830"/>
      <c r="AQ62" s="416"/>
      <c r="AR62" s="841"/>
    </row>
    <row r="63" spans="1:44" ht="20.25">
      <c r="A63" s="921">
        <v>3</v>
      </c>
      <c r="B63" s="921" t="s">
        <v>287</v>
      </c>
      <c r="C63" s="843" t="s">
        <v>553</v>
      </c>
      <c r="D63" s="844">
        <v>0</v>
      </c>
      <c r="E63" s="841">
        <v>3601</v>
      </c>
      <c r="F63" s="844">
        <v>9.47</v>
      </c>
      <c r="G63" s="844"/>
      <c r="H63" s="844"/>
      <c r="I63" s="822" t="s">
        <v>207</v>
      </c>
      <c r="J63" s="847"/>
      <c r="K63" s="845"/>
      <c r="L63" s="845">
        <f t="shared" si="4"/>
        <v>0</v>
      </c>
      <c r="M63" s="615"/>
      <c r="N63" s="848">
        <f t="shared" si="18"/>
        <v>0</v>
      </c>
      <c r="O63" s="416">
        <v>9</v>
      </c>
      <c r="P63" s="416"/>
      <c r="Q63" s="546">
        <f t="shared" si="5"/>
        <v>9</v>
      </c>
      <c r="R63" s="615">
        <v>0.1</v>
      </c>
      <c r="S63" s="845">
        <f t="shared" si="6"/>
        <v>0.9</v>
      </c>
      <c r="T63" s="848"/>
      <c r="U63" s="416"/>
      <c r="V63" s="416"/>
      <c r="W63" s="546">
        <f t="shared" si="7"/>
        <v>0</v>
      </c>
      <c r="X63" s="615">
        <v>0</v>
      </c>
      <c r="Y63" s="845">
        <f t="shared" si="8"/>
        <v>0</v>
      </c>
      <c r="Z63" s="848">
        <v>25</v>
      </c>
      <c r="AA63" s="838">
        <v>9</v>
      </c>
      <c r="AB63" s="838">
        <v>0</v>
      </c>
      <c r="AC63" s="838"/>
      <c r="AD63" s="555">
        <f t="shared" si="16"/>
        <v>9</v>
      </c>
      <c r="AE63" s="839">
        <v>0.5</v>
      </c>
      <c r="AF63" s="556">
        <f t="shared" si="1"/>
        <v>4.5</v>
      </c>
      <c r="AG63" s="556">
        <f t="shared" si="9"/>
        <v>4.5</v>
      </c>
      <c r="AH63" s="561">
        <f t="shared" si="17"/>
        <v>0.5</v>
      </c>
      <c r="AI63" s="555">
        <f t="shared" si="2"/>
        <v>1.099137022145212</v>
      </c>
      <c r="AJ63" s="556">
        <f t="shared" si="10"/>
        <v>1.099137022145212</v>
      </c>
      <c r="AK63" s="556"/>
      <c r="AL63" s="556"/>
      <c r="AM63" s="556"/>
      <c r="AN63" s="556">
        <f t="shared" si="11"/>
        <v>0.9</v>
      </c>
      <c r="AO63" s="840">
        <f t="shared" si="3"/>
        <v>25</v>
      </c>
      <c r="AP63" s="830"/>
      <c r="AQ63" s="416"/>
      <c r="AR63" s="841"/>
    </row>
    <row r="64" spans="1:44" ht="20.25">
      <c r="A64" s="921">
        <v>3</v>
      </c>
      <c r="B64" s="921" t="s">
        <v>288</v>
      </c>
      <c r="C64" s="843" t="s">
        <v>554</v>
      </c>
      <c r="D64" s="844">
        <v>0</v>
      </c>
      <c r="E64" s="841">
        <v>3801</v>
      </c>
      <c r="F64" s="844">
        <v>29.63</v>
      </c>
      <c r="G64" s="844"/>
      <c r="H64" s="844"/>
      <c r="I64" s="822" t="s">
        <v>207</v>
      </c>
      <c r="J64" s="847"/>
      <c r="K64" s="845"/>
      <c r="L64" s="845">
        <f t="shared" si="4"/>
        <v>0</v>
      </c>
      <c r="M64" s="615"/>
      <c r="N64" s="848">
        <f t="shared" si="18"/>
        <v>0</v>
      </c>
      <c r="O64" s="416">
        <v>29</v>
      </c>
      <c r="P64" s="416"/>
      <c r="Q64" s="546">
        <f t="shared" si="5"/>
        <v>29</v>
      </c>
      <c r="R64" s="615">
        <v>0.3</v>
      </c>
      <c r="S64" s="845">
        <f t="shared" si="6"/>
        <v>8.7</v>
      </c>
      <c r="T64" s="848"/>
      <c r="U64" s="416"/>
      <c r="V64" s="416"/>
      <c r="W64" s="546">
        <f t="shared" si="7"/>
        <v>0</v>
      </c>
      <c r="X64" s="615">
        <v>0</v>
      </c>
      <c r="Y64" s="845">
        <f t="shared" si="8"/>
        <v>0</v>
      </c>
      <c r="Z64" s="848">
        <v>100</v>
      </c>
      <c r="AA64" s="838">
        <v>29</v>
      </c>
      <c r="AB64" s="838">
        <v>0</v>
      </c>
      <c r="AC64" s="838"/>
      <c r="AD64" s="555">
        <f t="shared" si="16"/>
        <v>29</v>
      </c>
      <c r="AE64" s="839">
        <v>0.5</v>
      </c>
      <c r="AF64" s="556">
        <f t="shared" si="1"/>
        <v>14.5</v>
      </c>
      <c r="AG64" s="556">
        <f t="shared" si="9"/>
        <v>14.5</v>
      </c>
      <c r="AH64" s="561">
        <f t="shared" si="17"/>
        <v>0.5</v>
      </c>
      <c r="AI64" s="555">
        <f t="shared" si="2"/>
        <v>3.5416637380234604</v>
      </c>
      <c r="AJ64" s="556">
        <f t="shared" si="10"/>
        <v>3.5416637380234604</v>
      </c>
      <c r="AK64" s="556"/>
      <c r="AL64" s="556"/>
      <c r="AM64" s="556"/>
      <c r="AN64" s="556">
        <f t="shared" si="11"/>
        <v>8.7</v>
      </c>
      <c r="AO64" s="840">
        <f t="shared" si="3"/>
        <v>100</v>
      </c>
      <c r="AP64" s="830"/>
      <c r="AQ64" s="416"/>
      <c r="AR64" s="841"/>
    </row>
    <row r="65" spans="1:44" ht="20.25">
      <c r="A65" s="921">
        <v>3</v>
      </c>
      <c r="B65" s="921" t="s">
        <v>289</v>
      </c>
      <c r="C65" s="843" t="s">
        <v>555</v>
      </c>
      <c r="D65" s="844">
        <v>350.38390873</v>
      </c>
      <c r="E65" s="841">
        <v>3901</v>
      </c>
      <c r="F65" s="844">
        <v>375.26</v>
      </c>
      <c r="G65" s="844">
        <v>327</v>
      </c>
      <c r="H65" s="844">
        <f>+F65-D65-O65-U65</f>
        <v>24.876091270000018</v>
      </c>
      <c r="I65" s="822" t="s">
        <v>207</v>
      </c>
      <c r="J65" s="847">
        <v>24.876091270000018</v>
      </c>
      <c r="K65" s="845"/>
      <c r="L65" s="845">
        <f t="shared" si="4"/>
        <v>24.876091270000018</v>
      </c>
      <c r="M65" s="615">
        <v>0.05</v>
      </c>
      <c r="N65" s="848">
        <f t="shared" si="18"/>
        <v>1.243804563500001</v>
      </c>
      <c r="O65" s="416"/>
      <c r="P65" s="416"/>
      <c r="Q65" s="546">
        <f t="shared" si="5"/>
        <v>0</v>
      </c>
      <c r="R65" s="615"/>
      <c r="S65" s="845">
        <f t="shared" si="6"/>
        <v>0</v>
      </c>
      <c r="T65" s="848"/>
      <c r="U65" s="416"/>
      <c r="V65" s="416"/>
      <c r="W65" s="546">
        <f t="shared" si="7"/>
        <v>0</v>
      </c>
      <c r="X65" s="615">
        <v>0</v>
      </c>
      <c r="Y65" s="845">
        <f t="shared" si="8"/>
        <v>0</v>
      </c>
      <c r="Z65" s="848">
        <v>50</v>
      </c>
      <c r="AA65" s="838">
        <v>24.876091270000018</v>
      </c>
      <c r="AB65" s="838">
        <v>0</v>
      </c>
      <c r="AC65" s="838"/>
      <c r="AD65" s="555">
        <f t="shared" si="16"/>
        <v>24.876091270000018</v>
      </c>
      <c r="AE65" s="839">
        <v>0.5</v>
      </c>
      <c r="AF65" s="556">
        <f t="shared" si="1"/>
        <v>12.438045635000009</v>
      </c>
      <c r="AG65" s="556">
        <f t="shared" si="9"/>
        <v>12.438045635000009</v>
      </c>
      <c r="AH65" s="561">
        <f t="shared" si="17"/>
        <v>0.5</v>
      </c>
      <c r="AI65" s="555">
        <f t="shared" si="2"/>
        <v>3.0380258756800353</v>
      </c>
      <c r="AJ65" s="556">
        <f t="shared" si="10"/>
        <v>3.0380258756800353</v>
      </c>
      <c r="AK65" s="556"/>
      <c r="AL65" s="556"/>
      <c r="AM65" s="556"/>
      <c r="AN65" s="556">
        <f t="shared" si="11"/>
        <v>1.243804563500001</v>
      </c>
      <c r="AO65" s="840">
        <f t="shared" si="3"/>
        <v>50</v>
      </c>
      <c r="AP65" s="830"/>
      <c r="AQ65" s="416"/>
      <c r="AR65" s="841"/>
    </row>
    <row r="66" spans="1:44" ht="20.25">
      <c r="A66" s="921">
        <v>4</v>
      </c>
      <c r="B66" s="921" t="s">
        <v>290</v>
      </c>
      <c r="C66" s="843" t="s">
        <v>556</v>
      </c>
      <c r="D66" s="844">
        <v>108.73349600000002</v>
      </c>
      <c r="E66" s="841">
        <v>4101</v>
      </c>
      <c r="F66" s="844">
        <v>363.99</v>
      </c>
      <c r="G66" s="844">
        <v>107</v>
      </c>
      <c r="H66" s="844"/>
      <c r="I66" s="822" t="s">
        <v>207</v>
      </c>
      <c r="J66" s="847"/>
      <c r="K66" s="857">
        <v>-229</v>
      </c>
      <c r="L66" s="845">
        <f t="shared" si="4"/>
        <v>-229</v>
      </c>
      <c r="M66" s="615"/>
      <c r="N66" s="848">
        <f t="shared" si="18"/>
        <v>0</v>
      </c>
      <c r="O66" s="416">
        <v>256</v>
      </c>
      <c r="P66" s="866">
        <f>-102-48</f>
        <v>-150</v>
      </c>
      <c r="Q66" s="546">
        <f t="shared" si="5"/>
        <v>106</v>
      </c>
      <c r="R66" s="615">
        <v>0.1</v>
      </c>
      <c r="S66" s="845">
        <f t="shared" si="6"/>
        <v>10.600000000000001</v>
      </c>
      <c r="T66" s="848"/>
      <c r="U66" s="416"/>
      <c r="V66" s="416"/>
      <c r="W66" s="546">
        <f t="shared" si="7"/>
        <v>0</v>
      </c>
      <c r="X66" s="615">
        <v>0</v>
      </c>
      <c r="Y66" s="845">
        <f t="shared" si="8"/>
        <v>0</v>
      </c>
      <c r="Z66" s="848">
        <v>25</v>
      </c>
      <c r="AA66" s="838">
        <v>256</v>
      </c>
      <c r="AB66" s="838">
        <v>-379</v>
      </c>
      <c r="AC66" s="838"/>
      <c r="AD66" s="555">
        <f t="shared" si="16"/>
        <v>-123</v>
      </c>
      <c r="AE66" s="839">
        <v>0</v>
      </c>
      <c r="AF66" s="556">
        <f t="shared" si="1"/>
        <v>0</v>
      </c>
      <c r="AG66" s="556">
        <f t="shared" si="9"/>
        <v>0</v>
      </c>
      <c r="AH66" s="561">
        <f t="shared" si="17"/>
        <v>0</v>
      </c>
      <c r="AI66" s="555">
        <f t="shared" si="2"/>
        <v>0</v>
      </c>
      <c r="AJ66" s="556">
        <f t="shared" si="10"/>
        <v>0</v>
      </c>
      <c r="AK66" s="556"/>
      <c r="AL66" s="556"/>
      <c r="AM66" s="556"/>
      <c r="AN66" s="556">
        <f t="shared" si="11"/>
        <v>10.600000000000001</v>
      </c>
      <c r="AO66" s="840">
        <f t="shared" si="3"/>
        <v>25</v>
      </c>
      <c r="AP66" s="830"/>
      <c r="AQ66" s="416"/>
      <c r="AR66" s="841"/>
    </row>
    <row r="67" spans="1:44" ht="20.25">
      <c r="A67" s="921">
        <v>4</v>
      </c>
      <c r="B67" s="921" t="s">
        <v>291</v>
      </c>
      <c r="C67" s="843" t="s">
        <v>557</v>
      </c>
      <c r="D67" s="844">
        <v>382.5034627</v>
      </c>
      <c r="E67" s="841">
        <v>4301</v>
      </c>
      <c r="F67" s="844">
        <v>729.11</v>
      </c>
      <c r="G67" s="844">
        <v>370</v>
      </c>
      <c r="H67" s="844"/>
      <c r="I67" s="822" t="s">
        <v>207</v>
      </c>
      <c r="J67" s="847"/>
      <c r="K67" s="845"/>
      <c r="L67" s="845">
        <f t="shared" si="4"/>
        <v>0</v>
      </c>
      <c r="M67" s="615"/>
      <c r="N67" s="848">
        <f t="shared" si="18"/>
        <v>0</v>
      </c>
      <c r="O67" s="416">
        <v>347</v>
      </c>
      <c r="P67" s="416"/>
      <c r="Q67" s="546">
        <f t="shared" si="5"/>
        <v>347</v>
      </c>
      <c r="R67" s="615">
        <v>0.1</v>
      </c>
      <c r="S67" s="845">
        <f t="shared" si="6"/>
        <v>34.7</v>
      </c>
      <c r="T67" s="848"/>
      <c r="U67" s="416"/>
      <c r="V67" s="416"/>
      <c r="W67" s="546">
        <f t="shared" si="7"/>
        <v>0</v>
      </c>
      <c r="X67" s="615">
        <v>0</v>
      </c>
      <c r="Y67" s="845">
        <f t="shared" si="8"/>
        <v>0</v>
      </c>
      <c r="Z67" s="848">
        <v>50</v>
      </c>
      <c r="AA67" s="838">
        <v>347</v>
      </c>
      <c r="AB67" s="838">
        <v>0</v>
      </c>
      <c r="AC67" s="838"/>
      <c r="AD67" s="555">
        <f t="shared" si="16"/>
        <v>347</v>
      </c>
      <c r="AE67" s="839">
        <v>0.25</v>
      </c>
      <c r="AF67" s="556">
        <f t="shared" si="1"/>
        <v>86.75</v>
      </c>
      <c r="AG67" s="556">
        <f t="shared" si="9"/>
        <v>86.75</v>
      </c>
      <c r="AH67" s="561">
        <f t="shared" si="17"/>
        <v>0.25</v>
      </c>
      <c r="AI67" s="555">
        <f t="shared" si="2"/>
        <v>21.188919260243807</v>
      </c>
      <c r="AJ67" s="556">
        <f t="shared" si="10"/>
        <v>21.188919260243807</v>
      </c>
      <c r="AK67" s="556"/>
      <c r="AL67" s="556"/>
      <c r="AM67" s="556"/>
      <c r="AN67" s="556">
        <f t="shared" si="11"/>
        <v>34.7</v>
      </c>
      <c r="AO67" s="840">
        <f t="shared" si="3"/>
        <v>50</v>
      </c>
      <c r="AP67" s="830"/>
      <c r="AQ67" s="416"/>
      <c r="AR67" s="841"/>
    </row>
    <row r="68" spans="1:44" ht="20.25">
      <c r="A68" s="921">
        <v>4</v>
      </c>
      <c r="B68" s="921" t="s">
        <v>292</v>
      </c>
      <c r="C68" s="843" t="s">
        <v>558</v>
      </c>
      <c r="D68" s="844">
        <v>82.7269745</v>
      </c>
      <c r="E68" s="841">
        <v>4401</v>
      </c>
      <c r="F68" s="844">
        <v>1012.6</v>
      </c>
      <c r="G68" s="844">
        <v>81</v>
      </c>
      <c r="H68" s="844"/>
      <c r="I68" s="822" t="s">
        <v>207</v>
      </c>
      <c r="J68" s="847"/>
      <c r="K68" s="845"/>
      <c r="L68" s="845">
        <f t="shared" si="4"/>
        <v>0</v>
      </c>
      <c r="M68" s="615"/>
      <c r="N68" s="848">
        <f t="shared" si="18"/>
        <v>0</v>
      </c>
      <c r="O68" s="416">
        <v>756</v>
      </c>
      <c r="P68" s="866">
        <v>-74</v>
      </c>
      <c r="Q68" s="546">
        <f t="shared" si="5"/>
        <v>682</v>
      </c>
      <c r="R68" s="615">
        <v>0.1</v>
      </c>
      <c r="S68" s="845">
        <f t="shared" si="6"/>
        <v>68.2</v>
      </c>
      <c r="T68" s="848"/>
      <c r="U68" s="416">
        <v>173</v>
      </c>
      <c r="V68" s="416"/>
      <c r="W68" s="546">
        <f t="shared" si="7"/>
        <v>173</v>
      </c>
      <c r="X68" s="615">
        <v>0</v>
      </c>
      <c r="Y68" s="845">
        <f t="shared" si="8"/>
        <v>0</v>
      </c>
      <c r="Z68" s="848">
        <v>150</v>
      </c>
      <c r="AA68" s="838">
        <v>929</v>
      </c>
      <c r="AB68" s="838">
        <v>-74</v>
      </c>
      <c r="AC68" s="838"/>
      <c r="AD68" s="555">
        <f t="shared" si="16"/>
        <v>855</v>
      </c>
      <c r="AE68" s="839">
        <v>0.25</v>
      </c>
      <c r="AF68" s="556">
        <f t="shared" si="1"/>
        <v>213.75</v>
      </c>
      <c r="AG68" s="556">
        <f t="shared" si="9"/>
        <v>213.75</v>
      </c>
      <c r="AH68" s="561">
        <f t="shared" si="17"/>
        <v>0.25</v>
      </c>
      <c r="AI68" s="555">
        <f t="shared" si="2"/>
        <v>52.20900855189756</v>
      </c>
      <c r="AJ68" s="556">
        <f t="shared" si="10"/>
        <v>52.20900855189756</v>
      </c>
      <c r="AK68" s="556"/>
      <c r="AL68" s="556"/>
      <c r="AM68" s="556"/>
      <c r="AN68" s="556">
        <f t="shared" si="11"/>
        <v>68.2</v>
      </c>
      <c r="AO68" s="840">
        <f t="shared" si="3"/>
        <v>150</v>
      </c>
      <c r="AP68" s="830"/>
      <c r="AQ68" s="416"/>
      <c r="AR68" s="841"/>
    </row>
    <row r="69" spans="1:44" ht="20.25">
      <c r="A69" s="921">
        <v>4</v>
      </c>
      <c r="B69" s="921" t="s">
        <v>293</v>
      </c>
      <c r="C69" s="843" t="s">
        <v>559</v>
      </c>
      <c r="D69" s="844">
        <v>148.23720289999997</v>
      </c>
      <c r="E69" s="841">
        <v>4501</v>
      </c>
      <c r="F69" s="844">
        <v>1076.03</v>
      </c>
      <c r="G69" s="844">
        <v>155</v>
      </c>
      <c r="H69" s="844"/>
      <c r="I69" s="822" t="s">
        <v>207</v>
      </c>
      <c r="J69" s="847"/>
      <c r="K69" s="845"/>
      <c r="L69" s="845">
        <f t="shared" si="4"/>
        <v>0</v>
      </c>
      <c r="M69" s="615"/>
      <c r="N69" s="848">
        <f t="shared" si="18"/>
        <v>0</v>
      </c>
      <c r="O69" s="416">
        <v>928</v>
      </c>
      <c r="P69" s="866">
        <v>-177</v>
      </c>
      <c r="Q69" s="546">
        <f t="shared" si="5"/>
        <v>751</v>
      </c>
      <c r="R69" s="615">
        <v>0.1</v>
      </c>
      <c r="S69" s="845">
        <f t="shared" si="6"/>
        <v>75.10000000000001</v>
      </c>
      <c r="T69" s="848"/>
      <c r="U69" s="416"/>
      <c r="V69" s="416"/>
      <c r="W69" s="546">
        <f t="shared" si="7"/>
        <v>0</v>
      </c>
      <c r="X69" s="615">
        <v>0</v>
      </c>
      <c r="Y69" s="845">
        <f t="shared" si="8"/>
        <v>0</v>
      </c>
      <c r="Z69" s="848">
        <v>150</v>
      </c>
      <c r="AA69" s="838">
        <v>928</v>
      </c>
      <c r="AB69" s="838">
        <v>-177</v>
      </c>
      <c r="AC69" s="838"/>
      <c r="AD69" s="555">
        <f aca="true" t="shared" si="21" ref="AD69:AD98">SUM(AA69:AC69)</f>
        <v>751</v>
      </c>
      <c r="AE69" s="839">
        <v>0.25</v>
      </c>
      <c r="AF69" s="556">
        <f aca="true" t="shared" si="22" ref="AF69:AF97">+AE69*AD69</f>
        <v>187.75</v>
      </c>
      <c r="AG69" s="556">
        <f t="shared" si="9"/>
        <v>187.75</v>
      </c>
      <c r="AH69" s="561">
        <f t="shared" si="17"/>
        <v>0.25</v>
      </c>
      <c r="AI69" s="555">
        <f aca="true" t="shared" si="23" ref="AI69:AI98">+AF69*(AF$102/AF$101)</f>
        <v>45.85843909061411</v>
      </c>
      <c r="AJ69" s="556">
        <f t="shared" si="10"/>
        <v>45.85843909061411</v>
      </c>
      <c r="AK69" s="556"/>
      <c r="AL69" s="556"/>
      <c r="AM69" s="556"/>
      <c r="AN69" s="556">
        <f t="shared" si="11"/>
        <v>75.10000000000001</v>
      </c>
      <c r="AO69" s="840">
        <f aca="true" t="shared" si="24" ref="AO69:AO97">SUM(Z69,T69)</f>
        <v>150</v>
      </c>
      <c r="AP69" s="830"/>
      <c r="AQ69" s="416"/>
      <c r="AR69" s="841"/>
    </row>
    <row r="70" spans="1:44" ht="20.25">
      <c r="A70" s="921">
        <v>4</v>
      </c>
      <c r="B70" s="921" t="s">
        <v>294</v>
      </c>
      <c r="C70" s="843" t="s">
        <v>560</v>
      </c>
      <c r="D70" s="844">
        <v>1.3</v>
      </c>
      <c r="E70" s="841">
        <v>4601</v>
      </c>
      <c r="F70" s="844">
        <v>1.28</v>
      </c>
      <c r="G70" s="844">
        <v>1.3</v>
      </c>
      <c r="H70" s="844"/>
      <c r="I70" s="822" t="s">
        <v>207</v>
      </c>
      <c r="J70" s="836"/>
      <c r="L70" s="845">
        <f aca="true" t="shared" si="25" ref="L70:L98">SUM(J70:K70)</f>
        <v>0</v>
      </c>
      <c r="N70" s="837">
        <f t="shared" si="18"/>
        <v>0</v>
      </c>
      <c r="O70" s="416"/>
      <c r="P70" s="416"/>
      <c r="Q70" s="546">
        <f aca="true" t="shared" si="26" ref="Q70:Q98">SUM(O70:P70)</f>
        <v>0</v>
      </c>
      <c r="S70" s="546">
        <f aca="true" t="shared" si="27" ref="S70:S98">Q70*R70</f>
        <v>0</v>
      </c>
      <c r="T70" s="837"/>
      <c r="U70" s="416"/>
      <c r="V70" s="416"/>
      <c r="W70" s="546">
        <f aca="true" t="shared" si="28" ref="W70:W98">SUM(U70:V70)</f>
        <v>0</v>
      </c>
      <c r="Y70" s="546">
        <f aca="true" t="shared" si="29" ref="Y70:Y98">W70*X70</f>
        <v>0</v>
      </c>
      <c r="Z70" s="837"/>
      <c r="AA70" s="838"/>
      <c r="AB70" s="838"/>
      <c r="AC70" s="838"/>
      <c r="AD70" s="555"/>
      <c r="AE70" s="839"/>
      <c r="AF70" s="556">
        <f t="shared" si="22"/>
        <v>0</v>
      </c>
      <c r="AG70" s="556">
        <f aca="true" t="shared" si="30" ref="AG70:AG99">SUM(AF70,AC70)</f>
        <v>0</v>
      </c>
      <c r="AH70" s="561"/>
      <c r="AI70" s="555">
        <f t="shared" si="23"/>
        <v>0</v>
      </c>
      <c r="AJ70" s="556">
        <f aca="true" t="shared" si="31" ref="AJ70:AJ99">+AI70+AC70</f>
        <v>0</v>
      </c>
      <c r="AK70" s="556"/>
      <c r="AL70" s="556"/>
      <c r="AM70" s="556"/>
      <c r="AN70" s="556">
        <f aca="true" t="shared" si="32" ref="AN70:AN99">SUM(N70:N70,S70,Y70)</f>
        <v>0</v>
      </c>
      <c r="AO70" s="840">
        <f t="shared" si="24"/>
        <v>0</v>
      </c>
      <c r="AP70" s="830"/>
      <c r="AQ70" s="416"/>
      <c r="AR70" s="841"/>
    </row>
    <row r="71" spans="1:44" ht="20.25">
      <c r="A71" s="921">
        <v>5</v>
      </c>
      <c r="B71" s="921" t="s">
        <v>295</v>
      </c>
      <c r="C71" s="843" t="s">
        <v>561</v>
      </c>
      <c r="D71" s="844">
        <v>0</v>
      </c>
      <c r="E71" s="841">
        <v>5101</v>
      </c>
      <c r="F71" s="844">
        <v>150.84</v>
      </c>
      <c r="G71" s="844"/>
      <c r="H71" s="844"/>
      <c r="I71" s="822" t="s">
        <v>207</v>
      </c>
      <c r="J71" s="847"/>
      <c r="K71" s="845"/>
      <c r="L71" s="845">
        <f t="shared" si="25"/>
        <v>0</v>
      </c>
      <c r="M71" s="615"/>
      <c r="N71" s="848">
        <f t="shared" si="18"/>
        <v>0</v>
      </c>
      <c r="O71" s="416">
        <v>150</v>
      </c>
      <c r="P71" s="416"/>
      <c r="Q71" s="546">
        <f t="shared" si="26"/>
        <v>150</v>
      </c>
      <c r="R71" s="615">
        <v>0.1</v>
      </c>
      <c r="S71" s="845">
        <f t="shared" si="27"/>
        <v>15</v>
      </c>
      <c r="T71" s="848">
        <v>0</v>
      </c>
      <c r="U71" s="416"/>
      <c r="V71" s="416"/>
      <c r="W71" s="546">
        <f t="shared" si="28"/>
        <v>0</v>
      </c>
      <c r="X71" s="615">
        <v>0</v>
      </c>
      <c r="Y71" s="845">
        <f t="shared" si="29"/>
        <v>0</v>
      </c>
      <c r="Z71" s="848">
        <v>40</v>
      </c>
      <c r="AA71" s="838">
        <v>150</v>
      </c>
      <c r="AB71" s="838">
        <v>0</v>
      </c>
      <c r="AC71" s="838"/>
      <c r="AD71" s="555">
        <f t="shared" si="21"/>
        <v>150</v>
      </c>
      <c r="AE71" s="839">
        <v>0.3</v>
      </c>
      <c r="AF71" s="556">
        <f t="shared" si="22"/>
        <v>45</v>
      </c>
      <c r="AG71" s="556">
        <f t="shared" si="30"/>
        <v>45</v>
      </c>
      <c r="AH71" s="561">
        <f aca="true" t="shared" si="33" ref="AH71:AH101">+AG71/(AA71+AB71)</f>
        <v>0.3</v>
      </c>
      <c r="AI71" s="555">
        <f t="shared" si="23"/>
        <v>10.991370221452119</v>
      </c>
      <c r="AJ71" s="556">
        <f t="shared" si="31"/>
        <v>10.991370221452119</v>
      </c>
      <c r="AK71" s="556"/>
      <c r="AL71" s="556"/>
      <c r="AM71" s="556"/>
      <c r="AN71" s="556">
        <f t="shared" si="32"/>
        <v>15</v>
      </c>
      <c r="AO71" s="840">
        <f t="shared" si="24"/>
        <v>40</v>
      </c>
      <c r="AP71" s="830"/>
      <c r="AQ71" s="416"/>
      <c r="AR71" s="841"/>
    </row>
    <row r="72" spans="1:44" ht="20.25">
      <c r="A72" s="921">
        <v>5</v>
      </c>
      <c r="B72" s="921" t="s">
        <v>321</v>
      </c>
      <c r="C72" s="843" t="s">
        <v>562</v>
      </c>
      <c r="D72" s="844">
        <v>0</v>
      </c>
      <c r="E72" s="841">
        <v>5201</v>
      </c>
      <c r="F72" s="844">
        <v>138.77</v>
      </c>
      <c r="G72" s="844"/>
      <c r="H72" s="844"/>
      <c r="I72" s="822" t="s">
        <v>207</v>
      </c>
      <c r="J72" s="847"/>
      <c r="K72" s="845"/>
      <c r="L72" s="845">
        <f t="shared" si="25"/>
        <v>0</v>
      </c>
      <c r="M72" s="615"/>
      <c r="N72" s="848">
        <f t="shared" si="18"/>
        <v>0</v>
      </c>
      <c r="O72" s="416">
        <v>122</v>
      </c>
      <c r="P72" s="416"/>
      <c r="Q72" s="546">
        <f t="shared" si="26"/>
        <v>122</v>
      </c>
      <c r="R72" s="615">
        <v>0.1</v>
      </c>
      <c r="S72" s="845">
        <f t="shared" si="27"/>
        <v>12.200000000000001</v>
      </c>
      <c r="T72" s="848">
        <v>0</v>
      </c>
      <c r="U72" s="416">
        <v>15</v>
      </c>
      <c r="V72" s="416"/>
      <c r="W72" s="546">
        <f t="shared" si="28"/>
        <v>15</v>
      </c>
      <c r="X72" s="615">
        <v>0</v>
      </c>
      <c r="Y72" s="845">
        <f t="shared" si="29"/>
        <v>0</v>
      </c>
      <c r="Z72" s="848">
        <v>30</v>
      </c>
      <c r="AA72" s="838">
        <v>137</v>
      </c>
      <c r="AB72" s="838">
        <v>0</v>
      </c>
      <c r="AC72" s="838"/>
      <c r="AD72" s="555">
        <f t="shared" si="21"/>
        <v>137</v>
      </c>
      <c r="AE72" s="839">
        <v>0.3</v>
      </c>
      <c r="AF72" s="556">
        <f t="shared" si="22"/>
        <v>41.1</v>
      </c>
      <c r="AG72" s="556">
        <f t="shared" si="30"/>
        <v>41.1</v>
      </c>
      <c r="AH72" s="561">
        <f t="shared" si="33"/>
        <v>0.3</v>
      </c>
      <c r="AI72" s="555">
        <f t="shared" si="23"/>
        <v>10.038784802259602</v>
      </c>
      <c r="AJ72" s="556">
        <f t="shared" si="31"/>
        <v>10.038784802259602</v>
      </c>
      <c r="AK72" s="556"/>
      <c r="AL72" s="556"/>
      <c r="AM72" s="556"/>
      <c r="AN72" s="556">
        <f t="shared" si="32"/>
        <v>12.200000000000001</v>
      </c>
      <c r="AO72" s="840">
        <f t="shared" si="24"/>
        <v>30</v>
      </c>
      <c r="AP72" s="830"/>
      <c r="AQ72" s="416"/>
      <c r="AR72" s="841"/>
    </row>
    <row r="73" spans="1:44" ht="20.25">
      <c r="A73" s="921">
        <v>5</v>
      </c>
      <c r="B73" s="921" t="s">
        <v>322</v>
      </c>
      <c r="C73" s="843" t="s">
        <v>563</v>
      </c>
      <c r="D73" s="844">
        <v>0</v>
      </c>
      <c r="E73" s="841">
        <v>5301</v>
      </c>
      <c r="F73" s="844">
        <v>150.09</v>
      </c>
      <c r="G73" s="844"/>
      <c r="H73" s="844"/>
      <c r="I73" s="822" t="s">
        <v>207</v>
      </c>
      <c r="J73" s="847"/>
      <c r="K73" s="845"/>
      <c r="L73" s="845">
        <f t="shared" si="25"/>
        <v>0</v>
      </c>
      <c r="M73" s="615"/>
      <c r="N73" s="848">
        <f t="shared" si="18"/>
        <v>0</v>
      </c>
      <c r="O73" s="416">
        <v>150.1</v>
      </c>
      <c r="P73" s="416"/>
      <c r="Q73" s="546">
        <f t="shared" si="26"/>
        <v>150.1</v>
      </c>
      <c r="R73" s="615">
        <v>0.1</v>
      </c>
      <c r="S73" s="845">
        <f t="shared" si="27"/>
        <v>15.01</v>
      </c>
      <c r="T73" s="848">
        <v>0</v>
      </c>
      <c r="U73" s="416"/>
      <c r="V73" s="416"/>
      <c r="W73" s="546">
        <f t="shared" si="28"/>
        <v>0</v>
      </c>
      <c r="X73" s="615">
        <v>0</v>
      </c>
      <c r="Y73" s="845">
        <f t="shared" si="29"/>
        <v>0</v>
      </c>
      <c r="Z73" s="848">
        <v>50</v>
      </c>
      <c r="AA73" s="838">
        <v>150.1</v>
      </c>
      <c r="AB73" s="838">
        <v>0</v>
      </c>
      <c r="AC73" s="838"/>
      <c r="AD73" s="555">
        <f t="shared" si="21"/>
        <v>150.1</v>
      </c>
      <c r="AE73" s="839">
        <v>0.3</v>
      </c>
      <c r="AF73" s="556">
        <f t="shared" si="22"/>
        <v>45.029999999999994</v>
      </c>
      <c r="AG73" s="556">
        <f t="shared" si="30"/>
        <v>45.029999999999994</v>
      </c>
      <c r="AH73" s="561">
        <f t="shared" si="33"/>
        <v>0.3</v>
      </c>
      <c r="AI73" s="555">
        <f t="shared" si="23"/>
        <v>10.998697801599752</v>
      </c>
      <c r="AJ73" s="556">
        <f t="shared" si="31"/>
        <v>10.998697801599752</v>
      </c>
      <c r="AK73" s="556"/>
      <c r="AL73" s="556"/>
      <c r="AM73" s="556"/>
      <c r="AN73" s="556">
        <f t="shared" si="32"/>
        <v>15.01</v>
      </c>
      <c r="AO73" s="840">
        <f t="shared" si="24"/>
        <v>50</v>
      </c>
      <c r="AP73" s="830"/>
      <c r="AQ73" s="416"/>
      <c r="AR73" s="841"/>
    </row>
    <row r="74" spans="1:44" ht="20.25">
      <c r="A74" s="921">
        <v>5</v>
      </c>
      <c r="B74" s="921" t="s">
        <v>296</v>
      </c>
      <c r="C74" s="843" t="s">
        <v>564</v>
      </c>
      <c r="D74" s="844">
        <v>0</v>
      </c>
      <c r="E74" s="841">
        <v>5401</v>
      </c>
      <c r="F74" s="844">
        <v>82.15</v>
      </c>
      <c r="G74" s="844"/>
      <c r="H74" s="844"/>
      <c r="I74" s="822" t="s">
        <v>207</v>
      </c>
      <c r="J74" s="847"/>
      <c r="K74" s="845"/>
      <c r="L74" s="845">
        <f t="shared" si="25"/>
        <v>0</v>
      </c>
      <c r="M74" s="615"/>
      <c r="N74" s="848">
        <f aca="true" t="shared" si="34" ref="N74:N98">L74*M74</f>
        <v>0</v>
      </c>
      <c r="O74" s="416">
        <v>82</v>
      </c>
      <c r="P74" s="416"/>
      <c r="Q74" s="546">
        <f t="shared" si="26"/>
        <v>82</v>
      </c>
      <c r="R74" s="615">
        <v>0.1</v>
      </c>
      <c r="S74" s="845">
        <f t="shared" si="27"/>
        <v>8.200000000000001</v>
      </c>
      <c r="T74" s="848">
        <v>0</v>
      </c>
      <c r="U74" s="416"/>
      <c r="V74" s="416"/>
      <c r="W74" s="546">
        <f t="shared" si="28"/>
        <v>0</v>
      </c>
      <c r="X74" s="615">
        <v>0</v>
      </c>
      <c r="Y74" s="845">
        <f t="shared" si="29"/>
        <v>0</v>
      </c>
      <c r="Z74" s="848">
        <v>50</v>
      </c>
      <c r="AA74" s="838">
        <v>82</v>
      </c>
      <c r="AB74" s="838">
        <v>0</v>
      </c>
      <c r="AC74" s="838"/>
      <c r="AD74" s="555">
        <f t="shared" si="21"/>
        <v>82</v>
      </c>
      <c r="AE74" s="839">
        <v>0.3</v>
      </c>
      <c r="AF74" s="556">
        <f t="shared" si="22"/>
        <v>24.599999999999998</v>
      </c>
      <c r="AG74" s="556">
        <f t="shared" si="30"/>
        <v>24.599999999999998</v>
      </c>
      <c r="AH74" s="561">
        <f t="shared" si="33"/>
        <v>0.3</v>
      </c>
      <c r="AI74" s="555">
        <f t="shared" si="23"/>
        <v>6.008615721060491</v>
      </c>
      <c r="AJ74" s="556">
        <f t="shared" si="31"/>
        <v>6.008615721060491</v>
      </c>
      <c r="AK74" s="556"/>
      <c r="AL74" s="556"/>
      <c r="AM74" s="556"/>
      <c r="AN74" s="556">
        <f t="shared" si="32"/>
        <v>8.200000000000001</v>
      </c>
      <c r="AO74" s="840">
        <f t="shared" si="24"/>
        <v>50</v>
      </c>
      <c r="AP74" s="830"/>
      <c r="AQ74" s="416"/>
      <c r="AR74" s="841"/>
    </row>
    <row r="75" spans="1:44" ht="20.25">
      <c r="A75" s="921">
        <v>5</v>
      </c>
      <c r="B75" s="921" t="s">
        <v>323</v>
      </c>
      <c r="C75" s="843" t="s">
        <v>565</v>
      </c>
      <c r="D75" s="844">
        <v>0</v>
      </c>
      <c r="E75" s="841">
        <v>5501</v>
      </c>
      <c r="F75" s="844">
        <v>94</v>
      </c>
      <c r="G75" s="844"/>
      <c r="H75" s="844"/>
      <c r="I75" s="822" t="s">
        <v>207</v>
      </c>
      <c r="J75" s="847"/>
      <c r="K75" s="845"/>
      <c r="L75" s="845">
        <f t="shared" si="25"/>
        <v>0</v>
      </c>
      <c r="M75" s="615"/>
      <c r="N75" s="848">
        <f t="shared" si="34"/>
        <v>0</v>
      </c>
      <c r="O75" s="416">
        <v>85</v>
      </c>
      <c r="P75" s="416"/>
      <c r="Q75" s="546">
        <f t="shared" si="26"/>
        <v>85</v>
      </c>
      <c r="R75" s="615">
        <v>0.1</v>
      </c>
      <c r="S75" s="845">
        <f t="shared" si="27"/>
        <v>8.5</v>
      </c>
      <c r="T75" s="848">
        <v>0</v>
      </c>
      <c r="U75" s="416">
        <v>8</v>
      </c>
      <c r="V75" s="416"/>
      <c r="W75" s="546">
        <f t="shared" si="28"/>
        <v>8</v>
      </c>
      <c r="X75" s="615">
        <v>0</v>
      </c>
      <c r="Y75" s="845">
        <f t="shared" si="29"/>
        <v>0</v>
      </c>
      <c r="Z75" s="848">
        <v>20</v>
      </c>
      <c r="AA75" s="838">
        <v>93</v>
      </c>
      <c r="AB75" s="838">
        <v>0</v>
      </c>
      <c r="AC75" s="838"/>
      <c r="AD75" s="555">
        <f t="shared" si="21"/>
        <v>93</v>
      </c>
      <c r="AE75" s="839">
        <v>0.3</v>
      </c>
      <c r="AF75" s="556">
        <f t="shared" si="22"/>
        <v>27.9</v>
      </c>
      <c r="AG75" s="556">
        <f t="shared" si="30"/>
        <v>27.9</v>
      </c>
      <c r="AH75" s="561">
        <f t="shared" si="33"/>
        <v>0.3</v>
      </c>
      <c r="AI75" s="555">
        <f t="shared" si="23"/>
        <v>6.814649537300313</v>
      </c>
      <c r="AJ75" s="556">
        <f t="shared" si="31"/>
        <v>6.814649537300313</v>
      </c>
      <c r="AK75" s="556"/>
      <c r="AL75" s="556"/>
      <c r="AM75" s="556"/>
      <c r="AN75" s="556">
        <f t="shared" si="32"/>
        <v>8.5</v>
      </c>
      <c r="AO75" s="840">
        <f t="shared" si="24"/>
        <v>20</v>
      </c>
      <c r="AP75" s="830"/>
      <c r="AQ75" s="416"/>
      <c r="AR75" s="841"/>
    </row>
    <row r="76" spans="1:44" ht="20.25">
      <c r="A76" s="921">
        <v>5</v>
      </c>
      <c r="B76" s="921" t="s">
        <v>297</v>
      </c>
      <c r="C76" s="843" t="s">
        <v>566</v>
      </c>
      <c r="D76" s="844">
        <v>0</v>
      </c>
      <c r="E76" s="841">
        <v>5601</v>
      </c>
      <c r="F76" s="844">
        <v>129.35</v>
      </c>
      <c r="G76" s="844"/>
      <c r="H76" s="844"/>
      <c r="I76" s="822" t="s">
        <v>207</v>
      </c>
      <c r="J76" s="847"/>
      <c r="K76" s="845"/>
      <c r="L76" s="845">
        <f t="shared" si="25"/>
        <v>0</v>
      </c>
      <c r="M76" s="615"/>
      <c r="N76" s="848">
        <f t="shared" si="34"/>
        <v>0</v>
      </c>
      <c r="O76" s="416">
        <v>129</v>
      </c>
      <c r="P76" s="416"/>
      <c r="Q76" s="546">
        <f t="shared" si="26"/>
        <v>129</v>
      </c>
      <c r="R76" s="615">
        <v>0.1</v>
      </c>
      <c r="S76" s="845">
        <f t="shared" si="27"/>
        <v>12.9</v>
      </c>
      <c r="T76" s="848">
        <v>0</v>
      </c>
      <c r="U76" s="416"/>
      <c r="V76" s="416"/>
      <c r="W76" s="546">
        <f t="shared" si="28"/>
        <v>0</v>
      </c>
      <c r="X76" s="615">
        <v>0</v>
      </c>
      <c r="Y76" s="845">
        <f t="shared" si="29"/>
        <v>0</v>
      </c>
      <c r="Z76" s="848">
        <v>50</v>
      </c>
      <c r="AA76" s="838">
        <v>129</v>
      </c>
      <c r="AB76" s="838">
        <v>0</v>
      </c>
      <c r="AC76" s="838"/>
      <c r="AD76" s="555">
        <f t="shared" si="21"/>
        <v>129</v>
      </c>
      <c r="AE76" s="839">
        <v>0.3</v>
      </c>
      <c r="AF76" s="556">
        <f t="shared" si="22"/>
        <v>38.699999999999996</v>
      </c>
      <c r="AG76" s="556">
        <f t="shared" si="30"/>
        <v>38.699999999999996</v>
      </c>
      <c r="AH76" s="561">
        <f t="shared" si="33"/>
        <v>0.3</v>
      </c>
      <c r="AI76" s="555">
        <f t="shared" si="23"/>
        <v>9.45257839044882</v>
      </c>
      <c r="AJ76" s="556">
        <f t="shared" si="31"/>
        <v>9.45257839044882</v>
      </c>
      <c r="AK76" s="556"/>
      <c r="AL76" s="556"/>
      <c r="AM76" s="556"/>
      <c r="AN76" s="556">
        <f t="shared" si="32"/>
        <v>12.9</v>
      </c>
      <c r="AO76" s="840">
        <f t="shared" si="24"/>
        <v>50</v>
      </c>
      <c r="AP76" s="830"/>
      <c r="AQ76" s="416"/>
      <c r="AR76" s="841"/>
    </row>
    <row r="77" spans="1:44" ht="20.25">
      <c r="A77" s="921">
        <v>5</v>
      </c>
      <c r="B77" s="921" t="s">
        <v>298</v>
      </c>
      <c r="C77" s="843" t="s">
        <v>567</v>
      </c>
      <c r="D77" s="844">
        <v>45.634260000000005</v>
      </c>
      <c r="E77" s="841">
        <v>5801</v>
      </c>
      <c r="F77" s="844">
        <v>58.2</v>
      </c>
      <c r="G77" s="844">
        <v>33</v>
      </c>
      <c r="H77" s="844"/>
      <c r="I77" s="822" t="s">
        <v>207</v>
      </c>
      <c r="J77" s="847"/>
      <c r="K77" s="845"/>
      <c r="L77" s="845">
        <f t="shared" si="25"/>
        <v>0</v>
      </c>
      <c r="M77" s="615"/>
      <c r="N77" s="848">
        <f t="shared" si="34"/>
        <v>0</v>
      </c>
      <c r="O77" s="416">
        <v>12</v>
      </c>
      <c r="P77" s="416"/>
      <c r="Q77" s="546">
        <f t="shared" si="26"/>
        <v>12</v>
      </c>
      <c r="R77" s="615">
        <v>0.1</v>
      </c>
      <c r="S77" s="845">
        <f t="shared" si="27"/>
        <v>1.2000000000000002</v>
      </c>
      <c r="T77" s="848"/>
      <c r="U77" s="416"/>
      <c r="V77" s="416"/>
      <c r="W77" s="546">
        <f t="shared" si="28"/>
        <v>0</v>
      </c>
      <c r="X77" s="615">
        <v>0</v>
      </c>
      <c r="Y77" s="845">
        <f t="shared" si="29"/>
        <v>0</v>
      </c>
      <c r="Z77" s="848">
        <v>50</v>
      </c>
      <c r="AA77" s="838">
        <v>12</v>
      </c>
      <c r="AB77" s="838">
        <v>0</v>
      </c>
      <c r="AC77" s="838"/>
      <c r="AD77" s="555">
        <f t="shared" si="21"/>
        <v>12</v>
      </c>
      <c r="AE77" s="839">
        <v>0.3</v>
      </c>
      <c r="AF77" s="556">
        <f t="shared" si="22"/>
        <v>3.5999999999999996</v>
      </c>
      <c r="AG77" s="556">
        <f t="shared" si="30"/>
        <v>3.5999999999999996</v>
      </c>
      <c r="AH77" s="561">
        <f t="shared" si="33"/>
        <v>0.3</v>
      </c>
      <c r="AI77" s="555">
        <f t="shared" si="23"/>
        <v>0.8793096177161693</v>
      </c>
      <c r="AJ77" s="556">
        <f t="shared" si="31"/>
        <v>0.8793096177161693</v>
      </c>
      <c r="AK77" s="556"/>
      <c r="AL77" s="556"/>
      <c r="AM77" s="556"/>
      <c r="AN77" s="556">
        <f t="shared" si="32"/>
        <v>1.2000000000000002</v>
      </c>
      <c r="AO77" s="840">
        <f t="shared" si="24"/>
        <v>50</v>
      </c>
      <c r="AP77" s="830"/>
      <c r="AQ77" s="416"/>
      <c r="AR77" s="841"/>
    </row>
    <row r="78" spans="1:44" ht="20.25">
      <c r="A78" s="921">
        <v>6</v>
      </c>
      <c r="B78" s="921" t="s">
        <v>324</v>
      </c>
      <c r="C78" s="843" t="s">
        <v>568</v>
      </c>
      <c r="D78" s="844">
        <v>0</v>
      </c>
      <c r="E78" s="841">
        <v>6101</v>
      </c>
      <c r="F78" s="844">
        <v>13.81</v>
      </c>
      <c r="G78" s="844"/>
      <c r="H78" s="844"/>
      <c r="I78" s="822" t="s">
        <v>207</v>
      </c>
      <c r="J78" s="847"/>
      <c r="K78" s="845"/>
      <c r="L78" s="845">
        <f t="shared" si="25"/>
        <v>0</v>
      </c>
      <c r="M78" s="615"/>
      <c r="N78" s="848">
        <f t="shared" si="34"/>
        <v>0</v>
      </c>
      <c r="O78" s="416">
        <v>13</v>
      </c>
      <c r="P78" s="416"/>
      <c r="Q78" s="546">
        <f t="shared" si="26"/>
        <v>13</v>
      </c>
      <c r="R78" s="615">
        <v>0.1</v>
      </c>
      <c r="S78" s="845">
        <f t="shared" si="27"/>
        <v>1.3</v>
      </c>
      <c r="T78" s="848"/>
      <c r="U78" s="416"/>
      <c r="V78" s="416"/>
      <c r="W78" s="546">
        <f t="shared" si="28"/>
        <v>0</v>
      </c>
      <c r="X78" s="615">
        <v>0</v>
      </c>
      <c r="Y78" s="845">
        <f t="shared" si="29"/>
        <v>0</v>
      </c>
      <c r="Z78" s="848">
        <v>50</v>
      </c>
      <c r="AA78" s="838">
        <v>13</v>
      </c>
      <c r="AB78" s="838">
        <v>0</v>
      </c>
      <c r="AC78" s="838"/>
      <c r="AD78" s="555">
        <f t="shared" si="21"/>
        <v>13</v>
      </c>
      <c r="AE78" s="839">
        <v>0.4</v>
      </c>
      <c r="AF78" s="556">
        <f t="shared" si="22"/>
        <v>5.2</v>
      </c>
      <c r="AG78" s="556">
        <f t="shared" si="30"/>
        <v>5.2</v>
      </c>
      <c r="AH78" s="561">
        <f t="shared" si="33"/>
        <v>0.4</v>
      </c>
      <c r="AI78" s="555">
        <f t="shared" si="23"/>
        <v>1.2701138922566892</v>
      </c>
      <c r="AJ78" s="556">
        <f t="shared" si="31"/>
        <v>1.2701138922566892</v>
      </c>
      <c r="AK78" s="556"/>
      <c r="AL78" s="556"/>
      <c r="AM78" s="556"/>
      <c r="AN78" s="556">
        <f t="shared" si="32"/>
        <v>1.3</v>
      </c>
      <c r="AO78" s="840">
        <f t="shared" si="24"/>
        <v>50</v>
      </c>
      <c r="AP78" s="830"/>
      <c r="AQ78" s="416"/>
      <c r="AR78" s="841"/>
    </row>
    <row r="79" spans="1:44" ht="20.25">
      <c r="A79" s="921">
        <v>6</v>
      </c>
      <c r="B79" s="921" t="s">
        <v>299</v>
      </c>
      <c r="C79" s="843" t="s">
        <v>569</v>
      </c>
      <c r="D79" s="844">
        <v>15</v>
      </c>
      <c r="E79" s="841">
        <v>6163</v>
      </c>
      <c r="F79" s="844">
        <v>15</v>
      </c>
      <c r="G79" s="844">
        <v>15</v>
      </c>
      <c r="H79" s="844"/>
      <c r="I79" s="822" t="s">
        <v>207</v>
      </c>
      <c r="J79" s="836"/>
      <c r="L79" s="845">
        <f t="shared" si="25"/>
        <v>0</v>
      </c>
      <c r="N79" s="837">
        <f t="shared" si="34"/>
        <v>0</v>
      </c>
      <c r="O79" s="416"/>
      <c r="P79" s="416"/>
      <c r="Q79" s="546">
        <f t="shared" si="26"/>
        <v>0</v>
      </c>
      <c r="S79" s="546">
        <f t="shared" si="27"/>
        <v>0</v>
      </c>
      <c r="T79" s="837"/>
      <c r="U79" s="416"/>
      <c r="V79" s="416"/>
      <c r="W79" s="546">
        <f t="shared" si="28"/>
        <v>0</v>
      </c>
      <c r="Y79" s="546">
        <f t="shared" si="29"/>
        <v>0</v>
      </c>
      <c r="Z79" s="837"/>
      <c r="AA79" s="838"/>
      <c r="AB79" s="838"/>
      <c r="AC79" s="838"/>
      <c r="AD79" s="555"/>
      <c r="AE79" s="839"/>
      <c r="AF79" s="556">
        <f t="shared" si="22"/>
        <v>0</v>
      </c>
      <c r="AG79" s="556">
        <f t="shared" si="30"/>
        <v>0</v>
      </c>
      <c r="AH79" s="561"/>
      <c r="AI79" s="555">
        <f t="shared" si="23"/>
        <v>0</v>
      </c>
      <c r="AJ79" s="556">
        <f t="shared" si="31"/>
        <v>0</v>
      </c>
      <c r="AK79" s="556"/>
      <c r="AL79" s="556"/>
      <c r="AM79" s="556"/>
      <c r="AN79" s="556">
        <f t="shared" si="32"/>
        <v>0</v>
      </c>
      <c r="AO79" s="840">
        <f t="shared" si="24"/>
        <v>0</v>
      </c>
      <c r="AP79" s="830"/>
      <c r="AQ79" s="416"/>
      <c r="AR79" s="841"/>
    </row>
    <row r="80" spans="1:44" ht="20.25">
      <c r="A80" s="921">
        <v>6</v>
      </c>
      <c r="B80" s="921" t="s">
        <v>245</v>
      </c>
      <c r="C80" s="843" t="s">
        <v>570</v>
      </c>
      <c r="D80" s="844">
        <v>0</v>
      </c>
      <c r="E80" s="841">
        <v>6201</v>
      </c>
      <c r="F80" s="844">
        <v>456.14</v>
      </c>
      <c r="G80" s="844"/>
      <c r="H80" s="844"/>
      <c r="I80" s="822" t="s">
        <v>207</v>
      </c>
      <c r="J80" s="847"/>
      <c r="K80" s="845"/>
      <c r="L80" s="845">
        <f t="shared" si="25"/>
        <v>0</v>
      </c>
      <c r="M80" s="615"/>
      <c r="N80" s="848">
        <f t="shared" si="34"/>
        <v>0</v>
      </c>
      <c r="O80" s="416">
        <v>456</v>
      </c>
      <c r="P80" s="416"/>
      <c r="Q80" s="546">
        <f t="shared" si="26"/>
        <v>456</v>
      </c>
      <c r="R80" s="615">
        <v>0.1</v>
      </c>
      <c r="S80" s="845">
        <f t="shared" si="27"/>
        <v>45.6</v>
      </c>
      <c r="T80" s="848"/>
      <c r="U80" s="416"/>
      <c r="V80" s="416"/>
      <c r="W80" s="546">
        <f t="shared" si="28"/>
        <v>0</v>
      </c>
      <c r="X80" s="615">
        <v>0</v>
      </c>
      <c r="Y80" s="845">
        <f t="shared" si="29"/>
        <v>0</v>
      </c>
      <c r="Z80" s="848">
        <v>25</v>
      </c>
      <c r="AA80" s="838">
        <v>456</v>
      </c>
      <c r="AB80" s="838">
        <v>0</v>
      </c>
      <c r="AC80" s="838"/>
      <c r="AD80" s="555">
        <f t="shared" si="21"/>
        <v>456</v>
      </c>
      <c r="AE80" s="839">
        <v>0.5</v>
      </c>
      <c r="AF80" s="556">
        <f t="shared" si="22"/>
        <v>228</v>
      </c>
      <c r="AG80" s="556">
        <f t="shared" si="30"/>
        <v>228</v>
      </c>
      <c r="AH80" s="561">
        <f t="shared" si="33"/>
        <v>0.5</v>
      </c>
      <c r="AI80" s="555">
        <f t="shared" si="23"/>
        <v>55.689609122024066</v>
      </c>
      <c r="AJ80" s="556">
        <f t="shared" si="31"/>
        <v>55.689609122024066</v>
      </c>
      <c r="AK80" s="556"/>
      <c r="AL80" s="556"/>
      <c r="AM80" s="556"/>
      <c r="AN80" s="556">
        <f t="shared" si="32"/>
        <v>45.6</v>
      </c>
      <c r="AO80" s="840">
        <f t="shared" si="24"/>
        <v>25</v>
      </c>
      <c r="AP80" s="830"/>
      <c r="AQ80" s="416"/>
      <c r="AR80" s="841"/>
    </row>
    <row r="81" spans="1:44" ht="20.25">
      <c r="A81" s="921">
        <v>6</v>
      </c>
      <c r="B81" s="921" t="s">
        <v>246</v>
      </c>
      <c r="C81" s="843" t="s">
        <v>571</v>
      </c>
      <c r="D81" s="844">
        <v>0</v>
      </c>
      <c r="E81" s="841">
        <v>6301</v>
      </c>
      <c r="F81" s="844">
        <v>106.9</v>
      </c>
      <c r="G81" s="844"/>
      <c r="H81" s="844"/>
      <c r="I81" s="822" t="s">
        <v>207</v>
      </c>
      <c r="J81" s="847"/>
      <c r="K81" s="845"/>
      <c r="L81" s="845">
        <f t="shared" si="25"/>
        <v>0</v>
      </c>
      <c r="M81" s="615"/>
      <c r="N81" s="848">
        <f t="shared" si="34"/>
        <v>0</v>
      </c>
      <c r="O81" s="416">
        <v>107</v>
      </c>
      <c r="P81" s="416"/>
      <c r="Q81" s="546">
        <f t="shared" si="26"/>
        <v>107</v>
      </c>
      <c r="R81" s="860">
        <v>2.5</v>
      </c>
      <c r="S81" s="857">
        <f t="shared" si="27"/>
        <v>267.5</v>
      </c>
      <c r="T81" s="857">
        <v>0</v>
      </c>
      <c r="U81" s="416"/>
      <c r="V81" s="416"/>
      <c r="W81" s="546">
        <f t="shared" si="28"/>
        <v>0</v>
      </c>
      <c r="X81" s="615">
        <v>0</v>
      </c>
      <c r="Y81" s="845">
        <f t="shared" si="29"/>
        <v>0</v>
      </c>
      <c r="Z81" s="848">
        <v>25</v>
      </c>
      <c r="AA81" s="838">
        <v>107</v>
      </c>
      <c r="AB81" s="838">
        <v>0</v>
      </c>
      <c r="AC81" s="838">
        <v>50</v>
      </c>
      <c r="AD81" s="555">
        <f t="shared" si="21"/>
        <v>157</v>
      </c>
      <c r="AE81" s="839">
        <v>3</v>
      </c>
      <c r="AF81" s="556">
        <f t="shared" si="22"/>
        <v>471</v>
      </c>
      <c r="AG81" s="556">
        <f t="shared" si="30"/>
        <v>521</v>
      </c>
      <c r="AH81" s="561">
        <f t="shared" si="33"/>
        <v>4.869158878504673</v>
      </c>
      <c r="AI81" s="555">
        <f t="shared" si="23"/>
        <v>115.0430083178655</v>
      </c>
      <c r="AJ81" s="556">
        <f t="shared" si="31"/>
        <v>165.04300831786549</v>
      </c>
      <c r="AK81" s="556"/>
      <c r="AL81" s="556"/>
      <c r="AM81" s="556"/>
      <c r="AN81" s="556">
        <f t="shared" si="32"/>
        <v>267.5</v>
      </c>
      <c r="AO81" s="840">
        <f t="shared" si="24"/>
        <v>25</v>
      </c>
      <c r="AP81" s="830">
        <v>314</v>
      </c>
      <c r="AQ81" s="416"/>
      <c r="AR81" s="841"/>
    </row>
    <row r="82" spans="1:44" ht="20.25">
      <c r="A82" s="921">
        <v>6</v>
      </c>
      <c r="B82" s="921" t="s">
        <v>300</v>
      </c>
      <c r="C82" s="843" t="s">
        <v>572</v>
      </c>
      <c r="D82" s="844">
        <v>9.38</v>
      </c>
      <c r="E82" s="841">
        <v>6501</v>
      </c>
      <c r="F82" s="844">
        <v>9.38</v>
      </c>
      <c r="G82" s="844">
        <v>9</v>
      </c>
      <c r="H82" s="844"/>
      <c r="I82" s="822" t="s">
        <v>207</v>
      </c>
      <c r="J82" s="836"/>
      <c r="L82" s="845">
        <f t="shared" si="25"/>
        <v>0</v>
      </c>
      <c r="N82" s="837">
        <f t="shared" si="34"/>
        <v>0</v>
      </c>
      <c r="O82" s="416"/>
      <c r="P82" s="416"/>
      <c r="Q82" s="546">
        <f t="shared" si="26"/>
        <v>0</v>
      </c>
      <c r="S82" s="546">
        <f t="shared" si="27"/>
        <v>0</v>
      </c>
      <c r="T82" s="837"/>
      <c r="U82" s="416"/>
      <c r="V82" s="416"/>
      <c r="W82" s="546">
        <f t="shared" si="28"/>
        <v>0</v>
      </c>
      <c r="Y82" s="546">
        <f t="shared" si="29"/>
        <v>0</v>
      </c>
      <c r="Z82" s="837"/>
      <c r="AA82" s="838"/>
      <c r="AB82" s="838"/>
      <c r="AC82" s="838"/>
      <c r="AD82" s="555"/>
      <c r="AE82" s="839"/>
      <c r="AF82" s="556">
        <f t="shared" si="22"/>
        <v>0</v>
      </c>
      <c r="AG82" s="556">
        <f t="shared" si="30"/>
        <v>0</v>
      </c>
      <c r="AH82" s="561"/>
      <c r="AI82" s="555">
        <f t="shared" si="23"/>
        <v>0</v>
      </c>
      <c r="AJ82" s="556">
        <f t="shared" si="31"/>
        <v>0</v>
      </c>
      <c r="AK82" s="556"/>
      <c r="AL82" s="556"/>
      <c r="AM82" s="556"/>
      <c r="AN82" s="556">
        <f t="shared" si="32"/>
        <v>0</v>
      </c>
      <c r="AO82" s="840">
        <f t="shared" si="24"/>
        <v>0</v>
      </c>
      <c r="AP82" s="830"/>
      <c r="AQ82" s="416"/>
      <c r="AR82" s="841"/>
    </row>
    <row r="83" spans="1:44" ht="20.25">
      <c r="A83" s="921">
        <v>7</v>
      </c>
      <c r="B83" s="921" t="s">
        <v>301</v>
      </c>
      <c r="C83" s="843" t="s">
        <v>573</v>
      </c>
      <c r="D83" s="844">
        <v>32.64</v>
      </c>
      <c r="E83" s="841">
        <v>7101</v>
      </c>
      <c r="F83" s="844">
        <v>32.64</v>
      </c>
      <c r="G83" s="844">
        <v>33</v>
      </c>
      <c r="H83" s="844"/>
      <c r="I83" s="822" t="s">
        <v>207</v>
      </c>
      <c r="J83" s="836"/>
      <c r="L83" s="845">
        <f t="shared" si="25"/>
        <v>0</v>
      </c>
      <c r="N83" s="837">
        <f t="shared" si="34"/>
        <v>0</v>
      </c>
      <c r="O83" s="416"/>
      <c r="P83" s="416"/>
      <c r="Q83" s="546">
        <f t="shared" si="26"/>
        <v>0</v>
      </c>
      <c r="S83" s="546">
        <f t="shared" si="27"/>
        <v>0</v>
      </c>
      <c r="T83" s="837"/>
      <c r="U83" s="416"/>
      <c r="V83" s="416"/>
      <c r="W83" s="546">
        <f t="shared" si="28"/>
        <v>0</v>
      </c>
      <c r="Y83" s="546">
        <f t="shared" si="29"/>
        <v>0</v>
      </c>
      <c r="Z83" s="837"/>
      <c r="AA83" s="838"/>
      <c r="AB83" s="838"/>
      <c r="AC83" s="838"/>
      <c r="AD83" s="555"/>
      <c r="AE83" s="839"/>
      <c r="AF83" s="556">
        <f t="shared" si="22"/>
        <v>0</v>
      </c>
      <c r="AG83" s="556">
        <f t="shared" si="30"/>
        <v>0</v>
      </c>
      <c r="AH83" s="561"/>
      <c r="AI83" s="555">
        <f t="shared" si="23"/>
        <v>0</v>
      </c>
      <c r="AJ83" s="556">
        <f t="shared" si="31"/>
        <v>0</v>
      </c>
      <c r="AK83" s="556"/>
      <c r="AL83" s="556"/>
      <c r="AM83" s="556"/>
      <c r="AN83" s="556">
        <f t="shared" si="32"/>
        <v>0</v>
      </c>
      <c r="AO83" s="840">
        <f t="shared" si="24"/>
        <v>0</v>
      </c>
      <c r="AP83" s="830"/>
      <c r="AQ83" s="416"/>
      <c r="AR83" s="841"/>
    </row>
    <row r="84" spans="1:44" ht="20.25">
      <c r="A84" s="921">
        <v>7</v>
      </c>
      <c r="B84" s="921" t="s">
        <v>302</v>
      </c>
      <c r="C84" s="843" t="s">
        <v>574</v>
      </c>
      <c r="D84" s="844">
        <v>76.056394</v>
      </c>
      <c r="E84" s="841">
        <v>7301</v>
      </c>
      <c r="F84" s="844">
        <v>113.89</v>
      </c>
      <c r="G84" s="844">
        <v>76</v>
      </c>
      <c r="H84" s="844"/>
      <c r="I84" s="822" t="s">
        <v>207</v>
      </c>
      <c r="J84" s="847"/>
      <c r="K84" s="845"/>
      <c r="L84" s="845">
        <f t="shared" si="25"/>
        <v>0</v>
      </c>
      <c r="M84" s="615"/>
      <c r="N84" s="848">
        <f t="shared" si="34"/>
        <v>0</v>
      </c>
      <c r="O84" s="416">
        <v>39.3</v>
      </c>
      <c r="P84" s="416"/>
      <c r="Q84" s="546">
        <f t="shared" si="26"/>
        <v>39.3</v>
      </c>
      <c r="R84" s="615">
        <v>0.2</v>
      </c>
      <c r="S84" s="845">
        <f t="shared" si="27"/>
        <v>7.859999999999999</v>
      </c>
      <c r="T84" s="848"/>
      <c r="U84" s="416"/>
      <c r="V84" s="416"/>
      <c r="W84" s="546">
        <f t="shared" si="28"/>
        <v>0</v>
      </c>
      <c r="X84" s="615">
        <v>0</v>
      </c>
      <c r="Y84" s="845">
        <f t="shared" si="29"/>
        <v>0</v>
      </c>
      <c r="Z84" s="848">
        <v>50</v>
      </c>
      <c r="AA84" s="838">
        <v>39.3</v>
      </c>
      <c r="AB84" s="838">
        <v>0</v>
      </c>
      <c r="AC84" s="838"/>
      <c r="AD84" s="555">
        <f t="shared" si="21"/>
        <v>39.3</v>
      </c>
      <c r="AE84" s="839">
        <v>0.5</v>
      </c>
      <c r="AF84" s="556">
        <f t="shared" si="22"/>
        <v>19.65</v>
      </c>
      <c r="AG84" s="556">
        <f t="shared" si="30"/>
        <v>19.65</v>
      </c>
      <c r="AH84" s="561">
        <f t="shared" si="33"/>
        <v>0.5</v>
      </c>
      <c r="AI84" s="555">
        <f t="shared" si="23"/>
        <v>4.799564996700758</v>
      </c>
      <c r="AJ84" s="556">
        <f t="shared" si="31"/>
        <v>4.799564996700758</v>
      </c>
      <c r="AK84" s="556"/>
      <c r="AL84" s="556"/>
      <c r="AM84" s="556"/>
      <c r="AN84" s="556">
        <f t="shared" si="32"/>
        <v>7.859999999999999</v>
      </c>
      <c r="AO84" s="840">
        <f t="shared" si="24"/>
        <v>50</v>
      </c>
      <c r="AP84" s="830"/>
      <c r="AQ84" s="416"/>
      <c r="AR84" s="841"/>
    </row>
    <row r="85" spans="1:44" ht="20.25">
      <c r="A85" s="921">
        <v>7</v>
      </c>
      <c r="B85" s="921" t="s">
        <v>303</v>
      </c>
      <c r="C85" s="843" t="s">
        <v>575</v>
      </c>
      <c r="D85" s="844">
        <v>833.684064</v>
      </c>
      <c r="E85" s="841">
        <v>7401</v>
      </c>
      <c r="F85" s="844">
        <v>1552</v>
      </c>
      <c r="G85" s="844">
        <v>844</v>
      </c>
      <c r="H85" s="844">
        <f>+F85-D85-O85-U85</f>
        <v>32.71593599999994</v>
      </c>
      <c r="I85" s="822" t="s">
        <v>207</v>
      </c>
      <c r="J85" s="847">
        <v>31.95593599999995</v>
      </c>
      <c r="K85" s="845"/>
      <c r="L85" s="845">
        <f t="shared" si="25"/>
        <v>31.95593599999995</v>
      </c>
      <c r="M85" s="615">
        <v>0.05</v>
      </c>
      <c r="N85" s="848">
        <f t="shared" si="34"/>
        <v>1.5977967999999976</v>
      </c>
      <c r="O85" s="416">
        <v>424.6</v>
      </c>
      <c r="P85" s="416"/>
      <c r="Q85" s="546">
        <f t="shared" si="26"/>
        <v>424.6</v>
      </c>
      <c r="R85" s="615">
        <v>0.25</v>
      </c>
      <c r="S85" s="845">
        <f t="shared" si="27"/>
        <v>106.15</v>
      </c>
      <c r="T85" s="848"/>
      <c r="U85" s="416">
        <v>261</v>
      </c>
      <c r="V85" s="416"/>
      <c r="W85" s="546">
        <f t="shared" si="28"/>
        <v>261</v>
      </c>
      <c r="X85" s="615">
        <v>0.11694870204660231</v>
      </c>
      <c r="Y85" s="845">
        <f t="shared" si="29"/>
        <v>30.5236112341632</v>
      </c>
      <c r="Z85" s="848">
        <v>100</v>
      </c>
      <c r="AA85" s="838">
        <v>717.555936</v>
      </c>
      <c r="AB85" s="838">
        <v>0</v>
      </c>
      <c r="AC85" s="838"/>
      <c r="AD85" s="555">
        <f t="shared" si="21"/>
        <v>717.555936</v>
      </c>
      <c r="AE85" s="839">
        <v>0.25</v>
      </c>
      <c r="AF85" s="556">
        <f t="shared" si="22"/>
        <v>179.388984</v>
      </c>
      <c r="AG85" s="556">
        <f t="shared" si="30"/>
        <v>179.388984</v>
      </c>
      <c r="AH85" s="561">
        <f t="shared" si="33"/>
        <v>0.25</v>
      </c>
      <c r="AI85" s="555">
        <f t="shared" si="23"/>
        <v>43.81623859542557</v>
      </c>
      <c r="AJ85" s="556">
        <f t="shared" si="31"/>
        <v>43.81623859542557</v>
      </c>
      <c r="AK85" s="556"/>
      <c r="AL85" s="556"/>
      <c r="AM85" s="556"/>
      <c r="AN85" s="556">
        <f t="shared" si="32"/>
        <v>138.27140803416322</v>
      </c>
      <c r="AO85" s="840">
        <f t="shared" si="24"/>
        <v>100</v>
      </c>
      <c r="AP85" s="830"/>
      <c r="AQ85" s="416"/>
      <c r="AR85" s="841"/>
    </row>
    <row r="86" spans="1:44" ht="20.25">
      <c r="A86" s="921">
        <v>7</v>
      </c>
      <c r="B86" s="921" t="s">
        <v>325</v>
      </c>
      <c r="C86" s="843" t="s">
        <v>576</v>
      </c>
      <c r="D86" s="844">
        <v>0</v>
      </c>
      <c r="E86" s="841">
        <v>7501</v>
      </c>
      <c r="F86" s="844">
        <v>589</v>
      </c>
      <c r="G86" s="844"/>
      <c r="H86" s="844"/>
      <c r="I86" s="822" t="s">
        <v>207</v>
      </c>
      <c r="J86" s="847"/>
      <c r="K86" s="845"/>
      <c r="L86" s="845">
        <f t="shared" si="25"/>
        <v>0</v>
      </c>
      <c r="M86" s="615"/>
      <c r="N86" s="848">
        <f t="shared" si="34"/>
        <v>0</v>
      </c>
      <c r="O86" s="416">
        <v>284.2</v>
      </c>
      <c r="P86" s="416"/>
      <c r="Q86" s="546">
        <f t="shared" si="26"/>
        <v>284.2</v>
      </c>
      <c r="R86" s="615">
        <v>0.35</v>
      </c>
      <c r="S86" s="845">
        <f t="shared" si="27"/>
        <v>99.46999999999998</v>
      </c>
      <c r="T86" s="848">
        <v>50</v>
      </c>
      <c r="U86" s="416">
        <v>304</v>
      </c>
      <c r="V86" s="416"/>
      <c r="W86" s="546">
        <f t="shared" si="28"/>
        <v>304</v>
      </c>
      <c r="X86" s="615">
        <f>X85</f>
        <v>0.11694870204660231</v>
      </c>
      <c r="Y86" s="845">
        <f t="shared" si="29"/>
        <v>35.5524054221671</v>
      </c>
      <c r="Z86" s="848">
        <v>100</v>
      </c>
      <c r="AA86" s="838">
        <v>588.2</v>
      </c>
      <c r="AB86" s="838">
        <v>0</v>
      </c>
      <c r="AC86" s="838"/>
      <c r="AD86" s="555">
        <f t="shared" si="21"/>
        <v>588.2</v>
      </c>
      <c r="AE86" s="839">
        <v>0.25</v>
      </c>
      <c r="AF86" s="556">
        <f t="shared" si="22"/>
        <v>147.05</v>
      </c>
      <c r="AG86" s="556">
        <f t="shared" si="30"/>
        <v>147.05</v>
      </c>
      <c r="AH86" s="561">
        <f t="shared" si="33"/>
        <v>0.25</v>
      </c>
      <c r="AI86" s="555">
        <f t="shared" si="23"/>
        <v>35.917355356989646</v>
      </c>
      <c r="AJ86" s="556">
        <f t="shared" si="31"/>
        <v>35.917355356989646</v>
      </c>
      <c r="AK86" s="556"/>
      <c r="AL86" s="556"/>
      <c r="AM86" s="556"/>
      <c r="AN86" s="556">
        <f t="shared" si="32"/>
        <v>135.02240542216708</v>
      </c>
      <c r="AO86" s="840">
        <f t="shared" si="24"/>
        <v>150</v>
      </c>
      <c r="AP86" s="830"/>
      <c r="AQ86" s="416"/>
      <c r="AR86" s="841"/>
    </row>
    <row r="87" spans="1:44" ht="20.25">
      <c r="A87" s="921">
        <v>7</v>
      </c>
      <c r="B87" s="921" t="s">
        <v>326</v>
      </c>
      <c r="C87" s="843" t="s">
        <v>577</v>
      </c>
      <c r="D87" s="844">
        <v>0</v>
      </c>
      <c r="E87" s="841">
        <v>7503</v>
      </c>
      <c r="F87" s="844">
        <v>1306</v>
      </c>
      <c r="G87" s="844"/>
      <c r="H87" s="844"/>
      <c r="I87" s="822" t="s">
        <v>207</v>
      </c>
      <c r="J87" s="847"/>
      <c r="K87" s="845"/>
      <c r="L87" s="845">
        <f t="shared" si="25"/>
        <v>0</v>
      </c>
      <c r="M87" s="615"/>
      <c r="N87" s="848">
        <f t="shared" si="34"/>
        <v>0</v>
      </c>
      <c r="O87" s="416">
        <v>790</v>
      </c>
      <c r="P87" s="416"/>
      <c r="Q87" s="546">
        <f t="shared" si="26"/>
        <v>790</v>
      </c>
      <c r="R87" s="615">
        <v>0.35</v>
      </c>
      <c r="S87" s="845">
        <f t="shared" si="27"/>
        <v>276.5</v>
      </c>
      <c r="T87" s="848">
        <v>200</v>
      </c>
      <c r="U87" s="416">
        <v>504</v>
      </c>
      <c r="V87" s="416"/>
      <c r="W87" s="546">
        <f t="shared" si="28"/>
        <v>504</v>
      </c>
      <c r="X87" s="615">
        <v>0.137</v>
      </c>
      <c r="Y87" s="845">
        <f t="shared" si="29"/>
        <v>69.048</v>
      </c>
      <c r="Z87" s="848">
        <v>800</v>
      </c>
      <c r="AA87" s="838">
        <v>1294</v>
      </c>
      <c r="AB87" s="838">
        <v>0</v>
      </c>
      <c r="AC87" s="838"/>
      <c r="AD87" s="555">
        <f t="shared" si="21"/>
        <v>1294</v>
      </c>
      <c r="AE87" s="839">
        <v>1</v>
      </c>
      <c r="AF87" s="556">
        <f t="shared" si="22"/>
        <v>1294</v>
      </c>
      <c r="AG87" s="556">
        <f t="shared" si="30"/>
        <v>1294</v>
      </c>
      <c r="AH87" s="561">
        <f t="shared" si="33"/>
        <v>1</v>
      </c>
      <c r="AI87" s="555">
        <f t="shared" si="23"/>
        <v>316.06295703464536</v>
      </c>
      <c r="AJ87" s="556">
        <f t="shared" si="31"/>
        <v>316.06295703464536</v>
      </c>
      <c r="AK87" s="556"/>
      <c r="AL87" s="556"/>
      <c r="AM87" s="556"/>
      <c r="AN87" s="556">
        <f t="shared" si="32"/>
        <v>345.548</v>
      </c>
      <c r="AO87" s="840">
        <f t="shared" si="24"/>
        <v>1000</v>
      </c>
      <c r="AP87" s="830"/>
      <c r="AQ87" s="416"/>
      <c r="AR87" s="841"/>
    </row>
    <row r="88" spans="1:44" ht="20.25">
      <c r="A88" s="921">
        <v>7</v>
      </c>
      <c r="B88" s="921" t="s">
        <v>304</v>
      </c>
      <c r="C88" s="843" t="s">
        <v>578</v>
      </c>
      <c r="D88" s="844">
        <v>0</v>
      </c>
      <c r="E88" s="841">
        <v>7601</v>
      </c>
      <c r="F88" s="844">
        <v>237.65</v>
      </c>
      <c r="G88" s="844"/>
      <c r="H88" s="844"/>
      <c r="I88" s="822" t="s">
        <v>207</v>
      </c>
      <c r="J88" s="847"/>
      <c r="K88" s="845"/>
      <c r="L88" s="845">
        <f t="shared" si="25"/>
        <v>0</v>
      </c>
      <c r="M88" s="615"/>
      <c r="N88" s="848">
        <f t="shared" si="34"/>
        <v>0</v>
      </c>
      <c r="O88" s="416">
        <v>180</v>
      </c>
      <c r="P88" s="416"/>
      <c r="Q88" s="546">
        <f t="shared" si="26"/>
        <v>180</v>
      </c>
      <c r="R88" s="615">
        <v>0.35</v>
      </c>
      <c r="S88" s="845">
        <f t="shared" si="27"/>
        <v>62.99999999999999</v>
      </c>
      <c r="T88" s="848">
        <v>50</v>
      </c>
      <c r="U88" s="416">
        <v>56</v>
      </c>
      <c r="V88" s="416"/>
      <c r="W88" s="546">
        <f t="shared" si="28"/>
        <v>56</v>
      </c>
      <c r="X88" s="615">
        <f>X87</f>
        <v>0.137</v>
      </c>
      <c r="Y88" s="845">
        <f t="shared" si="29"/>
        <v>7.672000000000001</v>
      </c>
      <c r="Z88" s="848">
        <v>50</v>
      </c>
      <c r="AA88" s="838">
        <v>236</v>
      </c>
      <c r="AB88" s="838">
        <v>0</v>
      </c>
      <c r="AC88" s="838"/>
      <c r="AD88" s="555">
        <f t="shared" si="21"/>
        <v>236</v>
      </c>
      <c r="AE88" s="839">
        <v>0.5</v>
      </c>
      <c r="AF88" s="556">
        <f t="shared" si="22"/>
        <v>118</v>
      </c>
      <c r="AG88" s="556">
        <f t="shared" si="30"/>
        <v>118</v>
      </c>
      <c r="AH88" s="561">
        <f t="shared" si="33"/>
        <v>0.5</v>
      </c>
      <c r="AI88" s="555">
        <f t="shared" si="23"/>
        <v>28.821815247363332</v>
      </c>
      <c r="AJ88" s="556">
        <f t="shared" si="31"/>
        <v>28.821815247363332</v>
      </c>
      <c r="AK88" s="556"/>
      <c r="AL88" s="556"/>
      <c r="AM88" s="556"/>
      <c r="AN88" s="556">
        <f t="shared" si="32"/>
        <v>70.672</v>
      </c>
      <c r="AO88" s="840">
        <f t="shared" si="24"/>
        <v>100</v>
      </c>
      <c r="AP88" s="830"/>
      <c r="AQ88" s="416"/>
      <c r="AR88" s="841"/>
    </row>
    <row r="89" spans="1:44" ht="20.25">
      <c r="A89" s="921">
        <v>8</v>
      </c>
      <c r="B89" s="921" t="s">
        <v>247</v>
      </c>
      <c r="C89" s="843" t="s">
        <v>579</v>
      </c>
      <c r="D89" s="844">
        <v>2663.53316324</v>
      </c>
      <c r="E89" s="841">
        <v>8101</v>
      </c>
      <c r="F89" s="844">
        <v>3836</v>
      </c>
      <c r="G89" s="844">
        <v>2639</v>
      </c>
      <c r="H89" s="844">
        <f aca="true" t="shared" si="35" ref="H89:H94">+F89-D89-O89-U89</f>
        <v>534.9668367600002</v>
      </c>
      <c r="I89" s="822" t="s">
        <v>207</v>
      </c>
      <c r="J89" s="847">
        <v>532.5368367600004</v>
      </c>
      <c r="K89" s="857">
        <v>-70</v>
      </c>
      <c r="L89" s="845">
        <f t="shared" si="25"/>
        <v>462.53683676000037</v>
      </c>
      <c r="M89" s="615">
        <v>0.05</v>
      </c>
      <c r="N89" s="848">
        <f t="shared" si="34"/>
        <v>23.12684183800002</v>
      </c>
      <c r="O89" s="416">
        <v>553</v>
      </c>
      <c r="P89" s="866">
        <v>-101</v>
      </c>
      <c r="Q89" s="546">
        <f t="shared" si="26"/>
        <v>452</v>
      </c>
      <c r="R89" s="615">
        <v>0.1</v>
      </c>
      <c r="S89" s="845">
        <f t="shared" si="27"/>
        <v>45.2</v>
      </c>
      <c r="T89" s="848"/>
      <c r="U89" s="416">
        <v>84.5</v>
      </c>
      <c r="V89" s="416"/>
      <c r="W89" s="546">
        <f t="shared" si="28"/>
        <v>84.5</v>
      </c>
      <c r="X89" s="615">
        <v>0</v>
      </c>
      <c r="Y89" s="845">
        <f t="shared" si="29"/>
        <v>0</v>
      </c>
      <c r="Z89" s="848">
        <v>50</v>
      </c>
      <c r="AA89" s="838">
        <v>1170.0368367600004</v>
      </c>
      <c r="AB89" s="838">
        <v>-171</v>
      </c>
      <c r="AC89" s="838"/>
      <c r="AD89" s="555">
        <f t="shared" si="21"/>
        <v>999.0368367600004</v>
      </c>
      <c r="AE89" s="839">
        <v>0.1</v>
      </c>
      <c r="AF89" s="556">
        <f t="shared" si="22"/>
        <v>99.90368367600004</v>
      </c>
      <c r="AG89" s="556">
        <f t="shared" si="30"/>
        <v>99.90368367600004</v>
      </c>
      <c r="AH89" s="561">
        <f t="shared" si="33"/>
        <v>0.1</v>
      </c>
      <c r="AI89" s="555">
        <f t="shared" si="23"/>
        <v>24.401741639327977</v>
      </c>
      <c r="AJ89" s="556">
        <f t="shared" si="31"/>
        <v>24.401741639327977</v>
      </c>
      <c r="AK89" s="556"/>
      <c r="AL89" s="556"/>
      <c r="AM89" s="556"/>
      <c r="AN89" s="556">
        <f t="shared" si="32"/>
        <v>68.32684183800002</v>
      </c>
      <c r="AO89" s="840">
        <f t="shared" si="24"/>
        <v>50</v>
      </c>
      <c r="AP89" s="830"/>
      <c r="AQ89" s="416"/>
      <c r="AR89" s="841"/>
    </row>
    <row r="90" spans="1:44" ht="20.25">
      <c r="A90" s="921">
        <v>8</v>
      </c>
      <c r="B90" s="921" t="s">
        <v>305</v>
      </c>
      <c r="C90" s="843" t="s">
        <v>580</v>
      </c>
      <c r="D90" s="844">
        <v>443.02118686161043</v>
      </c>
      <c r="E90" s="841">
        <v>8102</v>
      </c>
      <c r="F90" s="844">
        <v>532.35</v>
      </c>
      <c r="G90" s="844">
        <v>466</v>
      </c>
      <c r="H90" s="844">
        <f t="shared" si="35"/>
        <v>53.32881313838959</v>
      </c>
      <c r="I90" s="822" t="s">
        <v>207</v>
      </c>
      <c r="J90" s="847">
        <v>52.62881313838959</v>
      </c>
      <c r="K90" s="845"/>
      <c r="L90" s="845">
        <f t="shared" si="25"/>
        <v>52.62881313838959</v>
      </c>
      <c r="M90" s="615">
        <v>0.05</v>
      </c>
      <c r="N90" s="848">
        <f t="shared" si="34"/>
        <v>2.6314406569194797</v>
      </c>
      <c r="O90" s="416">
        <v>36</v>
      </c>
      <c r="P90" s="416"/>
      <c r="Q90" s="546">
        <f t="shared" si="26"/>
        <v>36</v>
      </c>
      <c r="R90" s="615">
        <v>0.1</v>
      </c>
      <c r="S90" s="845">
        <f t="shared" si="27"/>
        <v>3.6</v>
      </c>
      <c r="T90" s="848"/>
      <c r="U90" s="416"/>
      <c r="V90" s="416"/>
      <c r="W90" s="546">
        <f t="shared" si="28"/>
        <v>0</v>
      </c>
      <c r="X90" s="615">
        <v>0</v>
      </c>
      <c r="Y90" s="845">
        <f t="shared" si="29"/>
        <v>0</v>
      </c>
      <c r="Z90" s="848">
        <v>0</v>
      </c>
      <c r="AA90" s="838">
        <v>88.62881313838959</v>
      </c>
      <c r="AB90" s="838">
        <v>0</v>
      </c>
      <c r="AC90" s="838"/>
      <c r="AD90" s="555">
        <f t="shared" si="21"/>
        <v>88.62881313838959</v>
      </c>
      <c r="AE90" s="839">
        <v>0.1</v>
      </c>
      <c r="AF90" s="556">
        <f t="shared" si="22"/>
        <v>8.86288131383896</v>
      </c>
      <c r="AG90" s="556">
        <f t="shared" si="30"/>
        <v>8.86288131383896</v>
      </c>
      <c r="AH90" s="561">
        <f t="shared" si="33"/>
        <v>0.1</v>
      </c>
      <c r="AI90" s="555">
        <f t="shared" si="23"/>
        <v>2.164782438870977</v>
      </c>
      <c r="AJ90" s="556">
        <f t="shared" si="31"/>
        <v>2.164782438870977</v>
      </c>
      <c r="AK90" s="556"/>
      <c r="AL90" s="556"/>
      <c r="AM90" s="556"/>
      <c r="AN90" s="556">
        <f t="shared" si="32"/>
        <v>6.23144065691948</v>
      </c>
      <c r="AO90" s="840">
        <f t="shared" si="24"/>
        <v>0</v>
      </c>
      <c r="AP90" s="830"/>
      <c r="AQ90" s="416"/>
      <c r="AR90" s="841"/>
    </row>
    <row r="91" spans="1:44" ht="20.25">
      <c r="A91" s="921">
        <v>8</v>
      </c>
      <c r="B91" s="921" t="s">
        <v>248</v>
      </c>
      <c r="C91" s="843" t="s">
        <v>581</v>
      </c>
      <c r="D91" s="844">
        <v>2366.49803556</v>
      </c>
      <c r="E91" s="841">
        <v>8202</v>
      </c>
      <c r="F91" s="844">
        <v>3091</v>
      </c>
      <c r="G91" s="844">
        <v>2382</v>
      </c>
      <c r="H91" s="844">
        <f t="shared" si="35"/>
        <v>417.50196443999994</v>
      </c>
      <c r="I91" s="822" t="s">
        <v>207</v>
      </c>
      <c r="J91" s="847">
        <v>414.5919644399998</v>
      </c>
      <c r="K91" s="859">
        <v>151</v>
      </c>
      <c r="L91" s="845">
        <f t="shared" si="25"/>
        <v>565.5919644399999</v>
      </c>
      <c r="M91" s="615">
        <v>0.2</v>
      </c>
      <c r="N91" s="845">
        <f t="shared" si="34"/>
        <v>113.11839288799997</v>
      </c>
      <c r="O91" s="867">
        <v>246</v>
      </c>
      <c r="P91" s="858"/>
      <c r="Q91" s="546">
        <f t="shared" si="26"/>
        <v>246</v>
      </c>
      <c r="R91" s="860">
        <v>1.55</v>
      </c>
      <c r="S91" s="857">
        <f t="shared" si="27"/>
        <v>381.3</v>
      </c>
      <c r="T91" s="857">
        <v>415</v>
      </c>
      <c r="U91" s="416">
        <v>61</v>
      </c>
      <c r="V91" s="416"/>
      <c r="W91" s="546">
        <f t="shared" si="28"/>
        <v>61</v>
      </c>
      <c r="X91" s="615">
        <v>0</v>
      </c>
      <c r="Y91" s="845">
        <f t="shared" si="29"/>
        <v>0</v>
      </c>
      <c r="Z91" s="848">
        <v>50</v>
      </c>
      <c r="AA91" s="838">
        <v>721.5919644399999</v>
      </c>
      <c r="AB91" s="838">
        <v>151</v>
      </c>
      <c r="AC91" s="838"/>
      <c r="AD91" s="555">
        <f t="shared" si="21"/>
        <v>872.5919644399999</v>
      </c>
      <c r="AE91" s="839">
        <v>0.2</v>
      </c>
      <c r="AF91" s="556">
        <f t="shared" si="22"/>
        <v>174.518392888</v>
      </c>
      <c r="AG91" s="556">
        <f t="shared" si="30"/>
        <v>174.518392888</v>
      </c>
      <c r="AH91" s="561">
        <f t="shared" si="33"/>
        <v>0.20000000000000004</v>
      </c>
      <c r="AI91" s="555">
        <f t="shared" si="23"/>
        <v>42.62658370410765</v>
      </c>
      <c r="AJ91" s="556">
        <f t="shared" si="31"/>
        <v>42.62658370410765</v>
      </c>
      <c r="AK91" s="556"/>
      <c r="AL91" s="556"/>
      <c r="AM91" s="556"/>
      <c r="AN91" s="868">
        <f t="shared" si="32"/>
        <v>494.41839288799997</v>
      </c>
      <c r="AO91" s="840">
        <f t="shared" si="24"/>
        <v>465</v>
      </c>
      <c r="AP91" s="869"/>
      <c r="AQ91" s="416"/>
      <c r="AR91" s="841"/>
    </row>
    <row r="92" spans="1:44" ht="20.25">
      <c r="A92" s="921">
        <v>8</v>
      </c>
      <c r="B92" s="921" t="s">
        <v>306</v>
      </c>
      <c r="C92" s="843" t="s">
        <v>582</v>
      </c>
      <c r="D92" s="844">
        <v>883.5801663599999</v>
      </c>
      <c r="E92" s="841">
        <v>8203</v>
      </c>
      <c r="F92" s="844">
        <v>1037</v>
      </c>
      <c r="G92" s="844">
        <v>889</v>
      </c>
      <c r="H92" s="844">
        <f t="shared" si="35"/>
        <v>153.4198336400001</v>
      </c>
      <c r="I92" s="822" t="s">
        <v>207</v>
      </c>
      <c r="J92" s="847">
        <v>152.62983364000013</v>
      </c>
      <c r="K92" s="870"/>
      <c r="L92" s="845">
        <f t="shared" si="25"/>
        <v>152.62983364000013</v>
      </c>
      <c r="M92" s="615">
        <v>0.1</v>
      </c>
      <c r="N92" s="848">
        <f t="shared" si="34"/>
        <v>15.262983364000014</v>
      </c>
      <c r="O92" s="416"/>
      <c r="P92" s="416"/>
      <c r="Q92" s="546">
        <f t="shared" si="26"/>
        <v>0</v>
      </c>
      <c r="R92" s="615"/>
      <c r="S92" s="845">
        <f t="shared" si="27"/>
        <v>0</v>
      </c>
      <c r="T92" s="848">
        <v>200</v>
      </c>
      <c r="U92" s="416"/>
      <c r="V92" s="416"/>
      <c r="W92" s="546">
        <f t="shared" si="28"/>
        <v>0</v>
      </c>
      <c r="X92" s="615">
        <v>0</v>
      </c>
      <c r="Y92" s="845">
        <f t="shared" si="29"/>
        <v>0</v>
      </c>
      <c r="Z92" s="848">
        <v>50</v>
      </c>
      <c r="AA92" s="838">
        <v>152.62983364000013</v>
      </c>
      <c r="AB92" s="838">
        <v>0</v>
      </c>
      <c r="AC92" s="838">
        <v>690</v>
      </c>
      <c r="AD92" s="555">
        <f t="shared" si="21"/>
        <v>842.6298336400001</v>
      </c>
      <c r="AE92" s="839">
        <v>0.4</v>
      </c>
      <c r="AF92" s="556">
        <f t="shared" si="22"/>
        <v>337.0519334560001</v>
      </c>
      <c r="AG92" s="556">
        <f t="shared" si="30"/>
        <v>1027.0519334560001</v>
      </c>
      <c r="AH92" s="561">
        <f t="shared" si="33"/>
        <v>6.729037888349226</v>
      </c>
      <c r="AI92" s="555">
        <f t="shared" si="23"/>
        <v>82.32583521046979</v>
      </c>
      <c r="AJ92" s="556">
        <f t="shared" si="31"/>
        <v>772.3258352104698</v>
      </c>
      <c r="AK92" s="556"/>
      <c r="AL92" s="556"/>
      <c r="AM92" s="556"/>
      <c r="AN92" s="871">
        <f t="shared" si="32"/>
        <v>15.262983364000014</v>
      </c>
      <c r="AO92" s="840">
        <f t="shared" si="24"/>
        <v>250</v>
      </c>
      <c r="AP92" s="872">
        <v>690</v>
      </c>
      <c r="AQ92" s="416"/>
      <c r="AR92" s="841"/>
    </row>
    <row r="93" spans="1:44" ht="20.25">
      <c r="A93" s="921">
        <v>8</v>
      </c>
      <c r="B93" s="921" t="s">
        <v>307</v>
      </c>
      <c r="C93" s="843" t="s">
        <v>583</v>
      </c>
      <c r="D93" s="844">
        <v>1012.0585562099998</v>
      </c>
      <c r="E93" s="841">
        <v>8204</v>
      </c>
      <c r="F93" s="844">
        <v>1216.11</v>
      </c>
      <c r="G93" s="844">
        <v>1061</v>
      </c>
      <c r="H93" s="844">
        <f t="shared" si="35"/>
        <v>204.05144379000012</v>
      </c>
      <c r="I93" s="822" t="s">
        <v>207</v>
      </c>
      <c r="J93" s="847">
        <v>204.05144379000012</v>
      </c>
      <c r="K93" s="862"/>
      <c r="L93" s="845">
        <f t="shared" si="25"/>
        <v>204.05144379000012</v>
      </c>
      <c r="M93" s="615">
        <v>0.1</v>
      </c>
      <c r="N93" s="848">
        <f t="shared" si="34"/>
        <v>20.405144379000014</v>
      </c>
      <c r="O93" s="416"/>
      <c r="P93" s="416"/>
      <c r="Q93" s="546">
        <f t="shared" si="26"/>
        <v>0</v>
      </c>
      <c r="R93" s="615"/>
      <c r="S93" s="845">
        <f t="shared" si="27"/>
        <v>0</v>
      </c>
      <c r="T93" s="848">
        <v>200</v>
      </c>
      <c r="U93" s="416"/>
      <c r="V93" s="416"/>
      <c r="W93" s="546">
        <f t="shared" si="28"/>
        <v>0</v>
      </c>
      <c r="X93" s="615">
        <v>0</v>
      </c>
      <c r="Y93" s="845">
        <f t="shared" si="29"/>
        <v>0</v>
      </c>
      <c r="Z93" s="848">
        <v>50</v>
      </c>
      <c r="AA93" s="838">
        <v>204.05144379000012</v>
      </c>
      <c r="AB93" s="838">
        <v>0</v>
      </c>
      <c r="AC93" s="838"/>
      <c r="AD93" s="555">
        <f t="shared" si="21"/>
        <v>204.05144379000012</v>
      </c>
      <c r="AE93" s="839">
        <v>0.4</v>
      </c>
      <c r="AF93" s="556">
        <f t="shared" si="22"/>
        <v>81.62057751600005</v>
      </c>
      <c r="AG93" s="556">
        <f t="shared" si="30"/>
        <v>81.62057751600005</v>
      </c>
      <c r="AH93" s="561">
        <f t="shared" si="33"/>
        <v>0.4</v>
      </c>
      <c r="AI93" s="555">
        <f t="shared" si="23"/>
        <v>19.936044114824163</v>
      </c>
      <c r="AJ93" s="556">
        <f t="shared" si="31"/>
        <v>19.936044114824163</v>
      </c>
      <c r="AK93" s="556"/>
      <c r="AL93" s="556"/>
      <c r="AM93" s="556"/>
      <c r="AN93" s="873">
        <f t="shared" si="32"/>
        <v>20.405144379000014</v>
      </c>
      <c r="AO93" s="840">
        <f t="shared" si="24"/>
        <v>250</v>
      </c>
      <c r="AP93" s="874"/>
      <c r="AQ93" s="416"/>
      <c r="AR93" s="841"/>
    </row>
    <row r="94" spans="1:44" ht="20.25">
      <c r="A94" s="921">
        <v>8</v>
      </c>
      <c r="B94" s="921" t="s">
        <v>308</v>
      </c>
      <c r="C94" s="843" t="s">
        <v>584</v>
      </c>
      <c r="D94" s="844">
        <v>243.96596282</v>
      </c>
      <c r="E94" s="841">
        <v>8205</v>
      </c>
      <c r="F94" s="844">
        <v>301</v>
      </c>
      <c r="G94" s="844">
        <v>242</v>
      </c>
      <c r="H94" s="844">
        <f t="shared" si="35"/>
        <v>26.034037180000013</v>
      </c>
      <c r="I94" s="822" t="s">
        <v>207</v>
      </c>
      <c r="J94" s="847">
        <v>25.58403717999999</v>
      </c>
      <c r="K94" s="845"/>
      <c r="L94" s="845">
        <f t="shared" si="25"/>
        <v>25.58403717999999</v>
      </c>
      <c r="M94" s="615">
        <v>0.1</v>
      </c>
      <c r="N94" s="848">
        <f t="shared" si="34"/>
        <v>2.558403717999999</v>
      </c>
      <c r="O94" s="416">
        <v>31</v>
      </c>
      <c r="P94" s="416"/>
      <c r="Q94" s="546">
        <f t="shared" si="26"/>
        <v>31</v>
      </c>
      <c r="R94" s="615">
        <v>0.2</v>
      </c>
      <c r="S94" s="845">
        <f t="shared" si="27"/>
        <v>6.2</v>
      </c>
      <c r="T94" s="848"/>
      <c r="U94" s="416"/>
      <c r="V94" s="416"/>
      <c r="W94" s="546">
        <f t="shared" si="28"/>
        <v>0</v>
      </c>
      <c r="X94" s="615">
        <v>0</v>
      </c>
      <c r="Y94" s="845">
        <f t="shared" si="29"/>
        <v>0</v>
      </c>
      <c r="Z94" s="848">
        <v>50</v>
      </c>
      <c r="AA94" s="838">
        <v>56.58403717999999</v>
      </c>
      <c r="AB94" s="838">
        <v>0</v>
      </c>
      <c r="AC94" s="838"/>
      <c r="AD94" s="555">
        <f t="shared" si="21"/>
        <v>56.58403717999999</v>
      </c>
      <c r="AE94" s="839">
        <v>0.4</v>
      </c>
      <c r="AF94" s="556">
        <f t="shared" si="22"/>
        <v>22.633614871999995</v>
      </c>
      <c r="AG94" s="556">
        <f t="shared" si="30"/>
        <v>22.633614871999995</v>
      </c>
      <c r="AH94" s="561">
        <f t="shared" si="33"/>
        <v>0.4</v>
      </c>
      <c r="AI94" s="555">
        <f t="shared" si="23"/>
        <v>5.528320900175923</v>
      </c>
      <c r="AJ94" s="556">
        <f t="shared" si="31"/>
        <v>5.528320900175923</v>
      </c>
      <c r="AK94" s="556"/>
      <c r="AL94" s="556"/>
      <c r="AM94" s="556"/>
      <c r="AN94" s="556">
        <f t="shared" si="32"/>
        <v>8.758403718</v>
      </c>
      <c r="AO94" s="840">
        <f t="shared" si="24"/>
        <v>50</v>
      </c>
      <c r="AP94" s="830"/>
      <c r="AQ94" s="416"/>
      <c r="AR94" s="841"/>
    </row>
    <row r="95" spans="1:44" ht="20.25">
      <c r="A95" s="921">
        <v>8</v>
      </c>
      <c r="B95" s="921" t="s">
        <v>309</v>
      </c>
      <c r="C95" s="843" t="s">
        <v>585</v>
      </c>
      <c r="D95" s="844">
        <v>324.6062</v>
      </c>
      <c r="E95" s="841">
        <v>8401</v>
      </c>
      <c r="F95" s="844">
        <v>324.61</v>
      </c>
      <c r="G95" s="844">
        <v>324</v>
      </c>
      <c r="H95" s="844"/>
      <c r="I95" s="822" t="s">
        <v>207</v>
      </c>
      <c r="J95" s="836"/>
      <c r="L95" s="845">
        <f t="shared" si="25"/>
        <v>0</v>
      </c>
      <c r="N95" s="837">
        <f t="shared" si="34"/>
        <v>0</v>
      </c>
      <c r="O95" s="416"/>
      <c r="P95" s="416"/>
      <c r="Q95" s="546">
        <f t="shared" si="26"/>
        <v>0</v>
      </c>
      <c r="S95" s="546">
        <f t="shared" si="27"/>
        <v>0</v>
      </c>
      <c r="T95" s="837"/>
      <c r="U95" s="416"/>
      <c r="V95" s="416"/>
      <c r="W95" s="546">
        <f t="shared" si="28"/>
        <v>0</v>
      </c>
      <c r="Y95" s="546">
        <f t="shared" si="29"/>
        <v>0</v>
      </c>
      <c r="Z95" s="837"/>
      <c r="AA95" s="838"/>
      <c r="AB95" s="838"/>
      <c r="AC95" s="838"/>
      <c r="AD95" s="555"/>
      <c r="AE95" s="839"/>
      <c r="AF95" s="556">
        <f t="shared" si="22"/>
        <v>0</v>
      </c>
      <c r="AG95" s="556">
        <f t="shared" si="30"/>
        <v>0</v>
      </c>
      <c r="AH95" s="561"/>
      <c r="AI95" s="555">
        <f t="shared" si="23"/>
        <v>0</v>
      </c>
      <c r="AJ95" s="556">
        <f t="shared" si="31"/>
        <v>0</v>
      </c>
      <c r="AK95" s="556"/>
      <c r="AL95" s="556"/>
      <c r="AM95" s="556"/>
      <c r="AN95" s="556">
        <f t="shared" si="32"/>
        <v>0</v>
      </c>
      <c r="AO95" s="840">
        <f t="shared" si="24"/>
        <v>0</v>
      </c>
      <c r="AP95" s="830"/>
      <c r="AQ95" s="416"/>
      <c r="AR95" s="841"/>
    </row>
    <row r="96" spans="1:44" ht="20.25">
      <c r="A96" s="921">
        <v>8</v>
      </c>
      <c r="B96" s="921" t="s">
        <v>310</v>
      </c>
      <c r="C96" s="843" t="s">
        <v>586</v>
      </c>
      <c r="D96" s="844">
        <v>146.466</v>
      </c>
      <c r="E96" s="841">
        <v>8402</v>
      </c>
      <c r="F96" s="844">
        <v>146.44</v>
      </c>
      <c r="G96" s="844">
        <v>146</v>
      </c>
      <c r="H96" s="844"/>
      <c r="I96" s="822" t="s">
        <v>207</v>
      </c>
      <c r="J96" s="836"/>
      <c r="L96" s="845">
        <f t="shared" si="25"/>
        <v>0</v>
      </c>
      <c r="N96" s="837">
        <f t="shared" si="34"/>
        <v>0</v>
      </c>
      <c r="O96" s="416"/>
      <c r="P96" s="416"/>
      <c r="Q96" s="546">
        <f t="shared" si="26"/>
        <v>0</v>
      </c>
      <c r="S96" s="546">
        <f t="shared" si="27"/>
        <v>0</v>
      </c>
      <c r="T96" s="837"/>
      <c r="U96" s="416"/>
      <c r="V96" s="416"/>
      <c r="W96" s="546">
        <f t="shared" si="28"/>
        <v>0</v>
      </c>
      <c r="Y96" s="546">
        <f t="shared" si="29"/>
        <v>0</v>
      </c>
      <c r="Z96" s="837"/>
      <c r="AA96" s="838"/>
      <c r="AB96" s="838"/>
      <c r="AC96" s="838"/>
      <c r="AD96" s="555"/>
      <c r="AE96" s="839"/>
      <c r="AF96" s="556">
        <f t="shared" si="22"/>
        <v>0</v>
      </c>
      <c r="AG96" s="556">
        <f t="shared" si="30"/>
        <v>0</v>
      </c>
      <c r="AH96" s="561"/>
      <c r="AI96" s="555">
        <f t="shared" si="23"/>
        <v>0</v>
      </c>
      <c r="AJ96" s="556">
        <f t="shared" si="31"/>
        <v>0</v>
      </c>
      <c r="AK96" s="556"/>
      <c r="AL96" s="556"/>
      <c r="AM96" s="556"/>
      <c r="AN96" s="556">
        <f t="shared" si="32"/>
        <v>0</v>
      </c>
      <c r="AO96" s="840">
        <f t="shared" si="24"/>
        <v>0</v>
      </c>
      <c r="AP96" s="830"/>
      <c r="AQ96" s="416"/>
      <c r="AR96" s="841"/>
    </row>
    <row r="97" spans="1:44" ht="20.25">
      <c r="A97" s="921">
        <v>8</v>
      </c>
      <c r="B97" s="921" t="s">
        <v>311</v>
      </c>
      <c r="C97" s="843" t="s">
        <v>587</v>
      </c>
      <c r="D97" s="844">
        <v>0</v>
      </c>
      <c r="E97" s="841">
        <v>8501</v>
      </c>
      <c r="F97" s="844">
        <v>814</v>
      </c>
      <c r="G97" s="844"/>
      <c r="H97" s="844"/>
      <c r="I97" s="822" t="s">
        <v>207</v>
      </c>
      <c r="J97" s="847"/>
      <c r="K97" s="845"/>
      <c r="L97" s="845">
        <f t="shared" si="25"/>
        <v>0</v>
      </c>
      <c r="M97" s="615"/>
      <c r="N97" s="848">
        <f t="shared" si="34"/>
        <v>0</v>
      </c>
      <c r="O97" s="416">
        <v>224</v>
      </c>
      <c r="P97" s="416"/>
      <c r="Q97" s="546">
        <f t="shared" si="26"/>
        <v>224</v>
      </c>
      <c r="R97" s="615">
        <v>0.3</v>
      </c>
      <c r="S97" s="845">
        <f t="shared" si="27"/>
        <v>67.2</v>
      </c>
      <c r="T97" s="848"/>
      <c r="U97" s="416">
        <v>588</v>
      </c>
      <c r="V97" s="416"/>
      <c r="W97" s="546">
        <f t="shared" si="28"/>
        <v>588</v>
      </c>
      <c r="X97" s="615">
        <v>0</v>
      </c>
      <c r="Y97" s="845">
        <f t="shared" si="29"/>
        <v>0</v>
      </c>
      <c r="Z97" s="848">
        <v>250</v>
      </c>
      <c r="AA97" s="838">
        <v>812</v>
      </c>
      <c r="AB97" s="838">
        <v>0</v>
      </c>
      <c r="AC97" s="838"/>
      <c r="AD97" s="555">
        <f t="shared" si="21"/>
        <v>812</v>
      </c>
      <c r="AE97" s="839">
        <v>1.5</v>
      </c>
      <c r="AF97" s="556">
        <f t="shared" si="22"/>
        <v>1218</v>
      </c>
      <c r="AG97" s="556">
        <f t="shared" si="30"/>
        <v>1218</v>
      </c>
      <c r="AH97" s="561">
        <f t="shared" si="33"/>
        <v>1.5</v>
      </c>
      <c r="AI97" s="555">
        <f t="shared" si="23"/>
        <v>297.49975399397067</v>
      </c>
      <c r="AJ97" s="556">
        <f t="shared" si="31"/>
        <v>297.49975399397067</v>
      </c>
      <c r="AK97" s="556"/>
      <c r="AL97" s="556"/>
      <c r="AM97" s="556"/>
      <c r="AN97" s="556">
        <f t="shared" si="32"/>
        <v>67.2</v>
      </c>
      <c r="AO97" s="840">
        <f t="shared" si="24"/>
        <v>250</v>
      </c>
      <c r="AP97" s="830"/>
      <c r="AQ97" s="416"/>
      <c r="AR97" s="841"/>
    </row>
    <row r="98" spans="1:44" ht="20.25">
      <c r="A98" s="921">
        <v>8</v>
      </c>
      <c r="B98" s="921" t="s">
        <v>249</v>
      </c>
      <c r="C98" s="843" t="s">
        <v>588</v>
      </c>
      <c r="D98" s="844">
        <v>1260.21258992</v>
      </c>
      <c r="E98" s="841">
        <v>8998</v>
      </c>
      <c r="F98" s="844">
        <v>1704</v>
      </c>
      <c r="G98" s="844">
        <v>1257</v>
      </c>
      <c r="H98" s="844">
        <f>+F98-D98-O98-U98</f>
        <v>276.08741008</v>
      </c>
      <c r="I98" s="822" t="s">
        <v>207</v>
      </c>
      <c r="J98" s="847">
        <v>275.58741008</v>
      </c>
      <c r="K98" s="857">
        <v>-391</v>
      </c>
      <c r="L98" s="845">
        <f t="shared" si="25"/>
        <v>-115.41258992000002</v>
      </c>
      <c r="M98" s="615">
        <v>0.05</v>
      </c>
      <c r="N98" s="848">
        <f t="shared" si="34"/>
        <v>-5.7706294960000015</v>
      </c>
      <c r="O98" s="416">
        <v>167.7</v>
      </c>
      <c r="P98" s="416"/>
      <c r="Q98" s="546">
        <f t="shared" si="26"/>
        <v>167.7</v>
      </c>
      <c r="R98" s="615">
        <v>0.1</v>
      </c>
      <c r="S98" s="845">
        <f t="shared" si="27"/>
        <v>16.77</v>
      </c>
      <c r="T98" s="848"/>
      <c r="U98" s="416"/>
      <c r="V98" s="416"/>
      <c r="W98" s="546">
        <f t="shared" si="28"/>
        <v>0</v>
      </c>
      <c r="X98" s="615">
        <v>0</v>
      </c>
      <c r="Y98" s="845">
        <f t="shared" si="29"/>
        <v>0</v>
      </c>
      <c r="Z98" s="848">
        <v>10</v>
      </c>
      <c r="AA98" s="838">
        <v>443.28741008</v>
      </c>
      <c r="AB98" s="838">
        <v>-391</v>
      </c>
      <c r="AC98" s="838"/>
      <c r="AD98" s="555">
        <f t="shared" si="21"/>
        <v>52.28741007999997</v>
      </c>
      <c r="AE98" s="839">
        <v>0.25</v>
      </c>
      <c r="AF98" s="556">
        <f>+AE98*AD98</f>
        <v>13.071852519999993</v>
      </c>
      <c r="AG98" s="556">
        <f t="shared" si="30"/>
        <v>13.071852519999993</v>
      </c>
      <c r="AH98" s="561">
        <f t="shared" si="33"/>
        <v>0.25</v>
      </c>
      <c r="AI98" s="555">
        <f t="shared" si="23"/>
        <v>3.192834900612039</v>
      </c>
      <c r="AJ98" s="556">
        <f t="shared" si="31"/>
        <v>3.192834900612039</v>
      </c>
      <c r="AK98" s="556"/>
      <c r="AL98" s="556"/>
      <c r="AM98" s="556"/>
      <c r="AN98" s="556">
        <f t="shared" si="32"/>
        <v>10.999370503999998</v>
      </c>
      <c r="AO98" s="840">
        <f>SUM(Z98,T98)</f>
        <v>10</v>
      </c>
      <c r="AP98" s="830"/>
      <c r="AQ98" s="416"/>
      <c r="AR98" s="841"/>
    </row>
    <row r="99" spans="1:44" s="858" customFormat="1" ht="20.25">
      <c r="A99" s="831" t="s">
        <v>90</v>
      </c>
      <c r="B99" s="831" t="s">
        <v>90</v>
      </c>
      <c r="C99" s="831"/>
      <c r="D99" s="831"/>
      <c r="E99" s="831"/>
      <c r="F99" s="831">
        <v>6627</v>
      </c>
      <c r="G99" s="831"/>
      <c r="I99" s="831"/>
      <c r="J99" s="875">
        <v>1828</v>
      </c>
      <c r="K99" s="865"/>
      <c r="L99" s="865"/>
      <c r="M99" s="860"/>
      <c r="N99" s="876"/>
      <c r="O99" s="831">
        <v>3075</v>
      </c>
      <c r="P99" s="667"/>
      <c r="Q99" s="667"/>
      <c r="R99" s="860"/>
      <c r="T99" s="876"/>
      <c r="U99" s="831">
        <v>132</v>
      </c>
      <c r="V99" s="667"/>
      <c r="W99" s="667"/>
      <c r="X99" s="860"/>
      <c r="Z99" s="876"/>
      <c r="AA99" s="838"/>
      <c r="AB99" s="838"/>
      <c r="AC99" s="838"/>
      <c r="AD99" s="555"/>
      <c r="AE99" s="839"/>
      <c r="AF99" s="556">
        <f>SUM(AN99:AO99)</f>
        <v>0</v>
      </c>
      <c r="AG99" s="556">
        <f t="shared" si="30"/>
        <v>0</v>
      </c>
      <c r="AH99" s="561"/>
      <c r="AI99" s="555">
        <f>+AF99*(AF$102/AF$101)</f>
        <v>0</v>
      </c>
      <c r="AJ99" s="556">
        <f t="shared" si="31"/>
        <v>0</v>
      </c>
      <c r="AK99" s="556"/>
      <c r="AL99" s="556"/>
      <c r="AM99" s="556"/>
      <c r="AN99" s="555">
        <f t="shared" si="32"/>
        <v>0</v>
      </c>
      <c r="AO99" s="877"/>
      <c r="AP99" s="830"/>
      <c r="AQ99" s="667"/>
      <c r="AR99" s="878"/>
    </row>
    <row r="100" spans="1:44" ht="20.25">
      <c r="A100" s="822"/>
      <c r="B100" s="822"/>
      <c r="C100" s="822"/>
      <c r="D100" s="822"/>
      <c r="E100" s="822"/>
      <c r="F100" s="831">
        <f>SUM(F5:F99)</f>
        <v>92401.15999999999</v>
      </c>
      <c r="G100" s="831">
        <f>SUM(G5:G99)</f>
        <v>60347.3</v>
      </c>
      <c r="H100" s="822"/>
      <c r="I100" s="822"/>
      <c r="J100" s="933"/>
      <c r="K100" s="935"/>
      <c r="L100" s="935"/>
      <c r="M100" s="891"/>
      <c r="N100" s="934"/>
      <c r="O100" s="884"/>
      <c r="P100" s="884"/>
      <c r="Q100" s="884"/>
      <c r="R100" s="891"/>
      <c r="S100" s="935"/>
      <c r="T100" s="934"/>
      <c r="U100" s="884"/>
      <c r="V100" s="884"/>
      <c r="W100" s="884"/>
      <c r="X100" s="891"/>
      <c r="Y100" s="935"/>
      <c r="Z100" s="934"/>
      <c r="AA100" s="838"/>
      <c r="AB100" s="838"/>
      <c r="AC100" s="838"/>
      <c r="AD100" s="556"/>
      <c r="AE100" s="839"/>
      <c r="AF100" s="556"/>
      <c r="AG100" s="556"/>
      <c r="AH100" s="561"/>
      <c r="AI100" s="556"/>
      <c r="AJ100" s="556"/>
      <c r="AK100" s="556"/>
      <c r="AL100" s="556"/>
      <c r="AM100" s="556"/>
      <c r="AN100" s="556"/>
      <c r="AO100" s="559"/>
      <c r="AP100" s="830"/>
      <c r="AQ100" s="884"/>
      <c r="AR100" s="822"/>
    </row>
    <row r="101" spans="1:44" ht="20.25">
      <c r="A101" s="822"/>
      <c r="B101" s="886"/>
      <c r="C101" s="886"/>
      <c r="D101" s="886"/>
      <c r="E101" s="886"/>
      <c r="F101" s="886"/>
      <c r="G101" s="886"/>
      <c r="H101" s="887">
        <f>SUM(H6:H98)</f>
        <v>11944.225095217416</v>
      </c>
      <c r="I101" s="886"/>
      <c r="J101" s="888">
        <f>SUM(J5:J98)</f>
        <v>11920.815095217418</v>
      </c>
      <c r="K101" s="889">
        <f aca="true" t="shared" si="36" ref="K101:AP101">SUM(K5:K99)</f>
        <v>427</v>
      </c>
      <c r="L101" s="890">
        <f t="shared" si="36"/>
        <v>12347.815095217418</v>
      </c>
      <c r="M101" s="891">
        <f>+N101/L101</f>
        <v>0.11271005512221592</v>
      </c>
      <c r="N101" s="892">
        <f t="shared" si="36"/>
        <v>1391.722920020885</v>
      </c>
      <c r="O101" s="886">
        <f>SUM(O5:O98)</f>
        <v>12856.600000000002</v>
      </c>
      <c r="P101" s="892">
        <f t="shared" si="36"/>
        <v>-415.7</v>
      </c>
      <c r="Q101" s="886">
        <f t="shared" si="36"/>
        <v>12440.900000000001</v>
      </c>
      <c r="R101" s="891">
        <f>S101/(O101-O99)</f>
        <v>0.3532004784493334</v>
      </c>
      <c r="S101" s="893">
        <f t="shared" si="36"/>
        <v>3454.8658</v>
      </c>
      <c r="T101" s="894">
        <f t="shared" si="36"/>
        <v>2705</v>
      </c>
      <c r="U101" s="886">
        <f>SUM(U5:U98)</f>
        <v>2291.1</v>
      </c>
      <c r="V101" s="892">
        <f t="shared" si="36"/>
        <v>-11.5</v>
      </c>
      <c r="W101" s="886">
        <f t="shared" si="36"/>
        <v>2279.6</v>
      </c>
      <c r="X101" s="891">
        <f>Y101/(U101-U99)</f>
        <v>0.06613682398051517</v>
      </c>
      <c r="Y101" s="893">
        <f t="shared" si="36"/>
        <v>142.7960166563303</v>
      </c>
      <c r="Z101" s="894">
        <f t="shared" si="36"/>
        <v>3900.0225</v>
      </c>
      <c r="AA101" s="895">
        <f>SUM(AA5:AA98)</f>
        <v>27068.51509521742</v>
      </c>
      <c r="AB101" s="895">
        <f t="shared" si="36"/>
        <v>-0.20000000000004547</v>
      </c>
      <c r="AC101" s="895">
        <f t="shared" si="36"/>
        <v>990</v>
      </c>
      <c r="AD101" s="557">
        <f t="shared" si="36"/>
        <v>28058.315095217415</v>
      </c>
      <c r="AE101" s="839">
        <f>+AF101/AD101</f>
        <v>0.5835690814667326</v>
      </c>
      <c r="AF101" s="557">
        <f t="shared" si="36"/>
        <v>16373.965167620183</v>
      </c>
      <c r="AG101" s="557">
        <f t="shared" si="36"/>
        <v>17363.965167620183</v>
      </c>
      <c r="AH101" s="561">
        <f t="shared" si="33"/>
        <v>0.6414867385184291</v>
      </c>
      <c r="AI101" s="557">
        <f t="shared" si="36"/>
        <v>3999.384736677215</v>
      </c>
      <c r="AJ101" s="557">
        <f t="shared" si="36"/>
        <v>4989.384736677215</v>
      </c>
      <c r="AK101" s="557"/>
      <c r="AL101" s="557"/>
      <c r="AM101" s="557"/>
      <c r="AN101" s="557">
        <f t="shared" si="36"/>
        <v>4989.384736677215</v>
      </c>
      <c r="AO101" s="896">
        <f t="shared" si="36"/>
        <v>6605.0225</v>
      </c>
      <c r="AP101" s="830">
        <f t="shared" si="36"/>
        <v>2342</v>
      </c>
      <c r="AQ101" s="897">
        <f>SUM(AP101,AO101,AN101,AD101)+2889</f>
        <v>44883.72233189463</v>
      </c>
      <c r="AR101" s="822"/>
    </row>
    <row r="102" spans="1:44" ht="20.25">
      <c r="A102" s="822"/>
      <c r="B102" s="886"/>
      <c r="C102" s="886"/>
      <c r="D102" s="886"/>
      <c r="E102" s="886"/>
      <c r="F102" s="886"/>
      <c r="G102" s="886"/>
      <c r="H102" s="886"/>
      <c r="I102" s="886"/>
      <c r="J102" s="886">
        <f>SUM(J5:J98)</f>
        <v>11920.815095217418</v>
      </c>
      <c r="K102" s="886"/>
      <c r="L102" s="886"/>
      <c r="M102" s="898"/>
      <c r="N102" s="899">
        <f>SUM(K101,N101)</f>
        <v>1818.722920020885</v>
      </c>
      <c r="O102" s="886"/>
      <c r="P102" s="886"/>
      <c r="Q102" s="886"/>
      <c r="R102" s="886"/>
      <c r="S102" s="899">
        <f>SUM(P101,S101)</f>
        <v>3039.1658</v>
      </c>
      <c r="T102" s="890"/>
      <c r="U102" s="886"/>
      <c r="V102" s="886"/>
      <c r="W102" s="886"/>
      <c r="X102" s="886"/>
      <c r="Y102" s="899">
        <f>SUM(V101,Y101)</f>
        <v>131.2960166563303</v>
      </c>
      <c r="Z102" s="890"/>
      <c r="AA102" s="895">
        <f>SUM(AA5:AA98)</f>
        <v>27068.51509521742</v>
      </c>
      <c r="AB102" s="895"/>
      <c r="AC102" s="895"/>
      <c r="AD102" s="557"/>
      <c r="AE102" s="900"/>
      <c r="AF102" s="557">
        <f>+AA103-AC101</f>
        <v>3999.384736677216</v>
      </c>
      <c r="AG102" s="557"/>
      <c r="AH102" s="561"/>
      <c r="AI102" s="557"/>
      <c r="AJ102" s="557"/>
      <c r="AK102" s="557"/>
      <c r="AL102" s="557"/>
      <c r="AM102" s="557"/>
      <c r="AN102" s="557">
        <f>SUM(N102,S102,Y102)</f>
        <v>4989.184736677216</v>
      </c>
      <c r="AO102" s="559"/>
      <c r="AP102" s="830"/>
      <c r="AQ102" s="822"/>
      <c r="AR102" s="822"/>
    </row>
    <row r="103" spans="1:44" ht="20.25">
      <c r="A103" s="822"/>
      <c r="B103" s="886"/>
      <c r="C103" s="886"/>
      <c r="D103" s="886"/>
      <c r="E103" s="886"/>
      <c r="F103" s="886"/>
      <c r="G103" s="886"/>
      <c r="H103" s="886"/>
      <c r="I103" s="886"/>
      <c r="J103" s="886">
        <f>SUM(J5:J99)</f>
        <v>13748.815095217418</v>
      </c>
      <c r="K103" s="901"/>
      <c r="L103" s="886"/>
      <c r="M103" s="898"/>
      <c r="O103" s="886"/>
      <c r="P103" s="886"/>
      <c r="Q103" s="886"/>
      <c r="R103" s="886"/>
      <c r="S103" s="886"/>
      <c r="T103" s="890"/>
      <c r="U103" s="822"/>
      <c r="V103" s="822"/>
      <c r="W103" s="822"/>
      <c r="X103" s="886"/>
      <c r="Z103" s="902" t="s">
        <v>331</v>
      </c>
      <c r="AA103" s="903">
        <v>4989.384736677216</v>
      </c>
      <c r="AB103" s="904">
        <f>+AA103/AA102</f>
        <v>0.18432428668976977</v>
      </c>
      <c r="AC103" s="904"/>
      <c r="AD103" s="558"/>
      <c r="AE103" s="905"/>
      <c r="AF103" s="558"/>
      <c r="AG103" s="558"/>
      <c r="AH103" s="1010"/>
      <c r="AI103" s="558"/>
      <c r="AJ103" s="558"/>
      <c r="AK103" s="558"/>
      <c r="AL103" s="558"/>
      <c r="AM103" s="558"/>
      <c r="AN103" s="558"/>
      <c r="AO103" s="906"/>
      <c r="AP103" s="830"/>
      <c r="AQ103" s="907">
        <f>SUM(AA101,AA103)+60269+75</f>
        <v>92401.89983189464</v>
      </c>
      <c r="AR103" s="822"/>
    </row>
    <row r="104" spans="1:44" ht="20.25">
      <c r="A104" s="822"/>
      <c r="B104" s="822"/>
      <c r="C104" s="822"/>
      <c r="D104" s="822"/>
      <c r="E104" s="822"/>
      <c r="F104" s="822"/>
      <c r="G104" s="822"/>
      <c r="H104" s="822"/>
      <c r="I104" s="822"/>
      <c r="J104" s="908"/>
      <c r="K104" s="909" t="s">
        <v>594</v>
      </c>
      <c r="L104" s="886">
        <v>2889</v>
      </c>
      <c r="M104" s="898"/>
      <c r="N104" s="910"/>
      <c r="O104" s="822"/>
      <c r="P104" s="822"/>
      <c r="Q104" s="822"/>
      <c r="R104" s="822"/>
      <c r="S104" s="822"/>
      <c r="T104" s="911"/>
      <c r="U104" s="822"/>
      <c r="V104" s="822"/>
      <c r="W104" s="822"/>
      <c r="X104" s="822"/>
      <c r="Z104" s="912" t="s">
        <v>596</v>
      </c>
      <c r="AA104" s="913">
        <v>11594.407236677216</v>
      </c>
      <c r="AB104" s="914">
        <f>+AA104/AA101</f>
        <v>0.4283355476239539</v>
      </c>
      <c r="AC104" s="915"/>
      <c r="AD104" s="559"/>
      <c r="AE104" s="916" t="s">
        <v>659</v>
      </c>
      <c r="AF104" s="917">
        <f>60269+75+AD101+AF101</f>
        <v>104776.2802628376</v>
      </c>
      <c r="AG104" s="917"/>
      <c r="AH104" s="561"/>
      <c r="AI104" s="559"/>
      <c r="AJ104" s="559"/>
      <c r="AK104" s="559"/>
      <c r="AL104" s="559"/>
      <c r="AM104" s="559"/>
      <c r="AN104" s="559"/>
      <c r="AO104" s="559"/>
      <c r="AP104" s="830"/>
      <c r="AQ104" s="907">
        <f>SUM(AQ103,AO101)</f>
        <v>99006.92233189465</v>
      </c>
      <c r="AR104" s="822"/>
    </row>
    <row r="105" spans="1:44" ht="20.25">
      <c r="A105" s="822"/>
      <c r="B105" s="822"/>
      <c r="C105" s="822"/>
      <c r="D105" s="822"/>
      <c r="E105" s="822"/>
      <c r="F105" s="822"/>
      <c r="G105" s="822"/>
      <c r="H105" s="822"/>
      <c r="I105" s="822"/>
      <c r="J105" s="908"/>
      <c r="K105" s="918" t="s">
        <v>593</v>
      </c>
      <c r="L105" s="886">
        <f>SUM(L104,L101,N101)</f>
        <v>16628.538015238304</v>
      </c>
      <c r="M105" s="898"/>
      <c r="N105" s="822"/>
      <c r="O105" s="822"/>
      <c r="P105" s="822"/>
      <c r="Q105" s="919">
        <f>SUM(Q101,S101)</f>
        <v>15895.765800000001</v>
      </c>
      <c r="R105" s="822"/>
      <c r="S105" s="822"/>
      <c r="T105" s="911"/>
      <c r="U105" s="822"/>
      <c r="V105" s="822"/>
      <c r="W105" s="822"/>
      <c r="X105" s="822"/>
      <c r="Y105" s="822"/>
      <c r="Z105" s="911"/>
      <c r="AD105" s="559"/>
      <c r="AE105" s="916" t="s">
        <v>659</v>
      </c>
      <c r="AF105" s="917">
        <f>60289+75+AD101+AF102</f>
        <v>92421.69983189463</v>
      </c>
      <c r="AG105" s="917"/>
      <c r="AH105" s="561"/>
      <c r="AI105" s="559"/>
      <c r="AJ105" s="559"/>
      <c r="AK105" s="559"/>
      <c r="AL105" s="559"/>
      <c r="AM105" s="559"/>
      <c r="AN105" s="559"/>
      <c r="AO105" s="559"/>
      <c r="AP105" s="830"/>
      <c r="AQ105" s="822"/>
      <c r="AR105" s="822"/>
    </row>
    <row r="106" spans="1:44" ht="20.25">
      <c r="A106" s="822"/>
      <c r="B106" s="822"/>
      <c r="C106" s="822"/>
      <c r="D106" s="822"/>
      <c r="E106" s="822"/>
      <c r="F106" s="822"/>
      <c r="G106" s="822"/>
      <c r="H106" s="822"/>
      <c r="I106" s="822"/>
      <c r="J106" s="908"/>
      <c r="K106" s="909" t="s">
        <v>592</v>
      </c>
      <c r="L106" s="886">
        <v>16771</v>
      </c>
      <c r="M106" s="898"/>
      <c r="N106" s="822"/>
      <c r="O106" s="822"/>
      <c r="P106" s="822"/>
      <c r="Q106" s="822">
        <v>15900</v>
      </c>
      <c r="R106" s="822"/>
      <c r="S106" s="822"/>
      <c r="T106" s="911"/>
      <c r="U106" s="822"/>
      <c r="V106" s="822"/>
      <c r="W106" s="822"/>
      <c r="X106" s="822"/>
      <c r="Y106" s="822"/>
      <c r="Z106" s="911"/>
      <c r="AA106" s="921">
        <v>4989</v>
      </c>
      <c r="AB106" s="921"/>
      <c r="AC106" s="921"/>
      <c r="AD106" s="559"/>
      <c r="AE106" s="916"/>
      <c r="AF106" s="559"/>
      <c r="AG106" s="559"/>
      <c r="AH106" s="561"/>
      <c r="AI106" s="559"/>
      <c r="AJ106" s="559"/>
      <c r="AK106" s="559"/>
      <c r="AL106" s="559"/>
      <c r="AM106" s="559"/>
      <c r="AN106" s="559"/>
      <c r="AO106" s="559"/>
      <c r="AP106" s="830"/>
      <c r="AQ106" s="822"/>
      <c r="AR106" s="822"/>
    </row>
    <row r="107" spans="1:44" ht="20.25">
      <c r="A107" s="822"/>
      <c r="B107" s="822"/>
      <c r="C107" s="822"/>
      <c r="D107" s="822"/>
      <c r="E107" s="822"/>
      <c r="F107" s="822"/>
      <c r="G107" s="822"/>
      <c r="H107" s="822"/>
      <c r="I107" s="822"/>
      <c r="J107" s="922"/>
      <c r="K107" s="918" t="s">
        <v>595</v>
      </c>
      <c r="L107" s="886">
        <f>+L106-L105</f>
        <v>142.46198476169593</v>
      </c>
      <c r="M107" s="898"/>
      <c r="N107" s="822"/>
      <c r="O107" s="822"/>
      <c r="P107" s="822"/>
      <c r="Q107" s="886">
        <f>+Q106-Q105</f>
        <v>4.234199999998964</v>
      </c>
      <c r="R107" s="822"/>
      <c r="S107" s="822"/>
      <c r="T107" s="911"/>
      <c r="U107" s="822"/>
      <c r="V107" s="822"/>
      <c r="W107" s="822"/>
      <c r="X107" s="822"/>
      <c r="Y107" s="822"/>
      <c r="Z107" s="911"/>
      <c r="AA107" s="923">
        <f>+AA103-AA106</f>
        <v>0.3847366772160967</v>
      </c>
      <c r="AB107" s="921"/>
      <c r="AC107" s="921"/>
      <c r="AD107" s="559"/>
      <c r="AE107" s="916"/>
      <c r="AF107" s="559"/>
      <c r="AG107" s="559"/>
      <c r="AH107" s="561"/>
      <c r="AI107" s="559"/>
      <c r="AJ107" s="559"/>
      <c r="AK107" s="559"/>
      <c r="AL107" s="559"/>
      <c r="AM107" s="559"/>
      <c r="AN107" s="559"/>
      <c r="AO107" s="559"/>
      <c r="AP107" s="830"/>
      <c r="AQ107" s="822"/>
      <c r="AR107" s="822"/>
    </row>
    <row r="108" spans="1:44" ht="21" thickBot="1">
      <c r="A108" s="822"/>
      <c r="B108" s="822"/>
      <c r="C108" s="822"/>
      <c r="D108" s="822"/>
      <c r="E108" s="822"/>
      <c r="F108" s="822"/>
      <c r="G108" s="822"/>
      <c r="H108" s="822"/>
      <c r="I108" s="822"/>
      <c r="J108" s="822"/>
      <c r="K108" s="912"/>
      <c r="L108" s="822"/>
      <c r="M108" s="898"/>
      <c r="N108" s="822"/>
      <c r="O108" s="822"/>
      <c r="P108" s="822"/>
      <c r="Q108" s="822"/>
      <c r="R108" s="822"/>
      <c r="S108" s="822"/>
      <c r="T108" s="911"/>
      <c r="U108" s="822"/>
      <c r="V108" s="822"/>
      <c r="W108" s="822"/>
      <c r="X108" s="822"/>
      <c r="Y108" s="822"/>
      <c r="Z108" s="911"/>
      <c r="AA108" s="921"/>
      <c r="AB108" s="921"/>
      <c r="AC108" s="921"/>
      <c r="AD108" s="559"/>
      <c r="AE108" s="916"/>
      <c r="AF108" s="559"/>
      <c r="AG108" s="559"/>
      <c r="AH108" s="561"/>
      <c r="AI108" s="559"/>
      <c r="AJ108" s="559"/>
      <c r="AK108" s="559"/>
      <c r="AL108" s="559"/>
      <c r="AM108" s="559"/>
      <c r="AN108" s="559"/>
      <c r="AO108" s="559"/>
      <c r="AP108" s="924"/>
      <c r="AQ108" s="416"/>
      <c r="AR108" s="416"/>
    </row>
    <row r="109" spans="1:44" ht="20.25">
      <c r="A109" s="831"/>
      <c r="B109" s="831">
        <f>SUM(J22:J43)</f>
        <v>5410.913316599027</v>
      </c>
      <c r="C109" s="831"/>
      <c r="D109" s="831"/>
      <c r="E109" s="831"/>
      <c r="F109" s="831"/>
      <c r="G109" s="831"/>
      <c r="H109" s="831"/>
      <c r="I109" s="831"/>
      <c r="J109" s="779" t="s">
        <v>92</v>
      </c>
      <c r="K109" s="560"/>
      <c r="L109" s="560"/>
      <c r="M109" s="780"/>
      <c r="N109" s="780"/>
      <c r="O109" s="779" t="s">
        <v>93</v>
      </c>
      <c r="P109" s="560"/>
      <c r="Q109" s="560"/>
      <c r="R109" s="781"/>
      <c r="S109" s="782"/>
      <c r="T109" s="783"/>
      <c r="U109" s="779" t="s">
        <v>94</v>
      </c>
      <c r="V109" s="560"/>
      <c r="W109" s="560"/>
      <c r="X109" s="781"/>
      <c r="Y109" s="782"/>
      <c r="Z109" s="783"/>
      <c r="AA109" s="925" t="s">
        <v>95</v>
      </c>
      <c r="AB109" s="926"/>
      <c r="AC109" s="926"/>
      <c r="AD109" s="560"/>
      <c r="AE109" s="927"/>
      <c r="AF109" s="560"/>
      <c r="AG109" s="560"/>
      <c r="AH109" s="1011"/>
      <c r="AI109" s="560"/>
      <c r="AJ109" s="560"/>
      <c r="AK109" s="560"/>
      <c r="AL109" s="560"/>
      <c r="AM109" s="560"/>
      <c r="AN109" s="560"/>
      <c r="AO109" s="792"/>
      <c r="AP109" s="924"/>
      <c r="AQ109" s="416"/>
      <c r="AR109" s="416"/>
    </row>
    <row r="110" spans="1:44" ht="91.5" thickBot="1">
      <c r="A110" s="822"/>
      <c r="B110" s="884">
        <f>SUM(J113)</f>
        <v>5410.913316599027</v>
      </c>
      <c r="C110" s="884"/>
      <c r="D110" s="884"/>
      <c r="E110" s="884"/>
      <c r="F110" s="884"/>
      <c r="G110" s="884"/>
      <c r="H110" s="884"/>
      <c r="I110" s="822"/>
      <c r="J110" s="928" t="s">
        <v>228</v>
      </c>
      <c r="K110" s="929" t="s">
        <v>250</v>
      </c>
      <c r="L110" s="929" t="s">
        <v>251</v>
      </c>
      <c r="M110" s="809" t="s">
        <v>328</v>
      </c>
      <c r="N110" s="810" t="s">
        <v>329</v>
      </c>
      <c r="O110" s="928" t="s">
        <v>228</v>
      </c>
      <c r="P110" s="929" t="s">
        <v>250</v>
      </c>
      <c r="Q110" s="929" t="s">
        <v>251</v>
      </c>
      <c r="R110" s="809" t="s">
        <v>328</v>
      </c>
      <c r="S110" s="810" t="s">
        <v>329</v>
      </c>
      <c r="T110" s="812" t="s">
        <v>330</v>
      </c>
      <c r="U110" s="928" t="s">
        <v>228</v>
      </c>
      <c r="V110" s="929" t="s">
        <v>250</v>
      </c>
      <c r="W110" s="929" t="s">
        <v>251</v>
      </c>
      <c r="X110" s="809" t="s">
        <v>328</v>
      </c>
      <c r="Y110" s="810" t="s">
        <v>329</v>
      </c>
      <c r="Z110" s="812" t="s">
        <v>330</v>
      </c>
      <c r="AA110" s="930" t="s">
        <v>228</v>
      </c>
      <c r="AB110" s="931" t="s">
        <v>250</v>
      </c>
      <c r="AC110" s="931"/>
      <c r="AD110" s="932" t="s">
        <v>251</v>
      </c>
      <c r="AE110" s="818" t="s">
        <v>328</v>
      </c>
      <c r="AF110" s="552"/>
      <c r="AG110" s="552"/>
      <c r="AH110" s="552"/>
      <c r="AI110" s="552"/>
      <c r="AJ110" s="552"/>
      <c r="AK110" s="552"/>
      <c r="AL110" s="552"/>
      <c r="AM110" s="552"/>
      <c r="AN110" s="813" t="s">
        <v>329</v>
      </c>
      <c r="AO110" s="812" t="s">
        <v>330</v>
      </c>
      <c r="AP110" s="924"/>
      <c r="AQ110" s="416"/>
      <c r="AR110" s="416"/>
    </row>
    <row r="111" spans="1:44" ht="20.25">
      <c r="A111" s="822">
        <v>12</v>
      </c>
      <c r="B111" s="822" t="s">
        <v>332</v>
      </c>
      <c r="C111" s="822"/>
      <c r="D111" s="822"/>
      <c r="E111" s="822"/>
      <c r="F111" s="822"/>
      <c r="G111" s="822"/>
      <c r="H111" s="822"/>
      <c r="I111" s="822"/>
      <c r="J111" s="933">
        <f>SUM(J6:J11)</f>
        <v>116.73726113000004</v>
      </c>
      <c r="K111" s="933">
        <f>SUM(K6:K11)</f>
        <v>0</v>
      </c>
      <c r="L111" s="933">
        <f>SUM(L6:L11)</f>
        <v>116.73726113000004</v>
      </c>
      <c r="M111" s="891">
        <f>N111/J111</f>
        <v>0.15</v>
      </c>
      <c r="N111" s="934">
        <f>SUM(N6:N11)</f>
        <v>17.510589169500005</v>
      </c>
      <c r="O111" s="933">
        <f>SUM(O6:O11)</f>
        <v>244</v>
      </c>
      <c r="P111" s="933">
        <f>SUM(P6:P11)</f>
        <v>0</v>
      </c>
      <c r="Q111" s="933">
        <f>SUM(Q6:Q11)</f>
        <v>244</v>
      </c>
      <c r="R111" s="891">
        <f>S111/O111</f>
        <v>0.15</v>
      </c>
      <c r="S111" s="935">
        <f>SUM(S6:S11)</f>
        <v>36.6</v>
      </c>
      <c r="T111" s="934">
        <f>SUM(T6:T11)</f>
        <v>0</v>
      </c>
      <c r="U111" s="933">
        <f>SUM(U6:U11)</f>
        <v>0</v>
      </c>
      <c r="V111" s="933">
        <f>SUM(V6:V11)</f>
        <v>0</v>
      </c>
      <c r="W111" s="933">
        <f>SUM(W6:W11)</f>
        <v>0</v>
      </c>
      <c r="X111" s="891"/>
      <c r="Y111" s="935">
        <f>SUM(Y6:Y11)</f>
        <v>0</v>
      </c>
      <c r="Z111" s="934">
        <f>SUM(Z6:Z11)</f>
        <v>0.0225</v>
      </c>
      <c r="AA111" s="936">
        <f>SUM(J111,O111,U111)</f>
        <v>360.73726113000004</v>
      </c>
      <c r="AB111" s="936">
        <f>SUM(K111,P111,V111)</f>
        <v>0</v>
      </c>
      <c r="AC111" s="936"/>
      <c r="AD111" s="840">
        <f>SUM(L111,Q111,W111)</f>
        <v>360.73726113000004</v>
      </c>
      <c r="AE111" s="839">
        <f>+AN111/AD111</f>
        <v>0.15</v>
      </c>
      <c r="AF111" s="561"/>
      <c r="AG111" s="561"/>
      <c r="AH111" s="561"/>
      <c r="AI111" s="561"/>
      <c r="AJ111" s="561"/>
      <c r="AK111" s="561"/>
      <c r="AL111" s="561"/>
      <c r="AM111" s="561"/>
      <c r="AN111" s="840">
        <f>SUM(N111,S111,Y111)</f>
        <v>54.1105891695</v>
      </c>
      <c r="AO111" s="937">
        <f aca="true" t="shared" si="37" ref="AO111:AO125">SUM(Z111,T111)</f>
        <v>0.0225</v>
      </c>
      <c r="AP111" s="937">
        <f>SUM(AP6:AP11)</f>
        <v>0</v>
      </c>
      <c r="AQ111" s="822">
        <v>12</v>
      </c>
      <c r="AR111" s="416"/>
    </row>
    <row r="112" spans="1:44" ht="20.25">
      <c r="A112" s="822">
        <v>13</v>
      </c>
      <c r="B112" s="822" t="s">
        <v>215</v>
      </c>
      <c r="C112" s="822"/>
      <c r="D112" s="822"/>
      <c r="E112" s="822"/>
      <c r="F112" s="822"/>
      <c r="G112" s="822"/>
      <c r="H112" s="822"/>
      <c r="I112" s="822"/>
      <c r="J112" s="933">
        <f>SUM(J12:J21)</f>
        <v>1278.7077952</v>
      </c>
      <c r="K112" s="933">
        <f>SUM(K12:K21)</f>
        <v>0</v>
      </c>
      <c r="L112" s="933">
        <f>SUM(L12:L21)</f>
        <v>1278.7077952</v>
      </c>
      <c r="M112" s="891">
        <f aca="true" t="shared" si="38" ref="M112:M125">N112/J112</f>
        <v>0.11664871485097209</v>
      </c>
      <c r="N112" s="934">
        <f>SUM(N12:N21)</f>
        <v>149.15962098</v>
      </c>
      <c r="O112" s="933">
        <f>SUM(O12:O21)</f>
        <v>1097</v>
      </c>
      <c r="P112" s="933">
        <f>SUM(P12:P21)</f>
        <v>0</v>
      </c>
      <c r="Q112" s="933">
        <f>SUM(Q12:Q21)</f>
        <v>1097</v>
      </c>
      <c r="R112" s="891">
        <f aca="true" t="shared" si="39" ref="R112:R125">S112/O112</f>
        <v>0.25151230628988147</v>
      </c>
      <c r="S112" s="935">
        <f>SUM(S12:S21)</f>
        <v>275.909</v>
      </c>
      <c r="T112" s="934">
        <f>SUM(T12:T21)</f>
        <v>50</v>
      </c>
      <c r="U112" s="933">
        <f>SUM(U12:U21)</f>
        <v>0</v>
      </c>
      <c r="V112" s="933">
        <f>SUM(V12:V21)</f>
        <v>0</v>
      </c>
      <c r="W112" s="933">
        <f>SUM(W12:W21)</f>
        <v>0</v>
      </c>
      <c r="X112" s="891"/>
      <c r="Y112" s="935">
        <f>SUM(Y12:Y21)</f>
        <v>0</v>
      </c>
      <c r="Z112" s="934">
        <f>SUM(Z12:Z21)</f>
        <v>350</v>
      </c>
      <c r="AA112" s="936">
        <f aca="true" t="shared" si="40" ref="AA112:AA125">SUM(J112,O112,U112)</f>
        <v>2375.7077952</v>
      </c>
      <c r="AB112" s="936">
        <f aca="true" t="shared" si="41" ref="AB112:AB125">SUM(K112,P112,V112)</f>
        <v>0</v>
      </c>
      <c r="AC112" s="936"/>
      <c r="AD112" s="840">
        <f aca="true" t="shared" si="42" ref="AD112:AD125">SUM(L112,Q112,W112)</f>
        <v>2375.7077952</v>
      </c>
      <c r="AE112" s="839">
        <f aca="true" t="shared" si="43" ref="AE112:AE125">+AN112/AD112</f>
        <v>0.17892293902424788</v>
      </c>
      <c r="AF112" s="561"/>
      <c r="AG112" s="561"/>
      <c r="AH112" s="561"/>
      <c r="AI112" s="561"/>
      <c r="AJ112" s="561"/>
      <c r="AK112" s="561"/>
      <c r="AL112" s="561"/>
      <c r="AM112" s="561"/>
      <c r="AN112" s="840">
        <f aca="true" t="shared" si="44" ref="AN112:AN125">SUM(N112,S112,Y112)</f>
        <v>425.06862098</v>
      </c>
      <c r="AO112" s="937">
        <f t="shared" si="37"/>
        <v>400</v>
      </c>
      <c r="AP112" s="937">
        <f>SUM(AP12:AP21)</f>
        <v>200</v>
      </c>
      <c r="AQ112" s="822">
        <v>13</v>
      </c>
      <c r="AR112" s="416"/>
    </row>
    <row r="113" spans="1:44" ht="20.25">
      <c r="A113" s="822">
        <v>14</v>
      </c>
      <c r="B113" s="822" t="s">
        <v>333</v>
      </c>
      <c r="C113" s="822"/>
      <c r="D113" s="822"/>
      <c r="E113" s="822"/>
      <c r="F113" s="822"/>
      <c r="G113" s="822"/>
      <c r="H113" s="822"/>
      <c r="I113" s="822"/>
      <c r="J113" s="933">
        <f>SUM(J22:J43)</f>
        <v>5410.913316599027</v>
      </c>
      <c r="K113" s="933">
        <f>SUM(K22:K43)</f>
        <v>966</v>
      </c>
      <c r="L113" s="933">
        <f>SUM(L22:L43)</f>
        <v>6376.913316599027</v>
      </c>
      <c r="M113" s="891">
        <f t="shared" si="38"/>
        <v>0.10472654498550316</v>
      </c>
      <c r="N113" s="934">
        <f>SUM(N22:N43)</f>
        <v>566.6662568634661</v>
      </c>
      <c r="O113" s="933">
        <f>SUM(O22:O43)</f>
        <v>507</v>
      </c>
      <c r="P113" s="933">
        <f>SUM(P22:P43)</f>
        <v>98</v>
      </c>
      <c r="Q113" s="933">
        <f>SUM(Q22:Q43)</f>
        <v>605</v>
      </c>
      <c r="R113" s="891">
        <f t="shared" si="39"/>
        <v>0.4279289940828402</v>
      </c>
      <c r="S113" s="935">
        <f>SUM(S22:S43)</f>
        <v>216.95999999999998</v>
      </c>
      <c r="T113" s="934">
        <f>SUM(T22:T43)</f>
        <v>250</v>
      </c>
      <c r="U113" s="933">
        <f>SUM(U22:U43)</f>
        <v>0</v>
      </c>
      <c r="V113" s="933">
        <f>SUM(V22:V43)</f>
        <v>0</v>
      </c>
      <c r="W113" s="933">
        <f>SUM(W22:W43)</f>
        <v>0</v>
      </c>
      <c r="X113" s="891"/>
      <c r="Y113" s="935">
        <f>SUM(Y22:Y43)</f>
        <v>0</v>
      </c>
      <c r="Z113" s="934">
        <f>SUM(Z22:Z43)</f>
        <v>0</v>
      </c>
      <c r="AA113" s="936">
        <f t="shared" si="40"/>
        <v>5917.913316599027</v>
      </c>
      <c r="AB113" s="936">
        <f t="shared" si="41"/>
        <v>1064</v>
      </c>
      <c r="AC113" s="936"/>
      <c r="AD113" s="840">
        <f t="shared" si="42"/>
        <v>6981.913316599027</v>
      </c>
      <c r="AE113" s="839">
        <f t="shared" si="43"/>
        <v>0.11223660640421411</v>
      </c>
      <c r="AF113" s="561"/>
      <c r="AG113" s="561"/>
      <c r="AH113" s="561"/>
      <c r="AI113" s="561"/>
      <c r="AJ113" s="561"/>
      <c r="AK113" s="561"/>
      <c r="AL113" s="561"/>
      <c r="AM113" s="561"/>
      <c r="AN113" s="840">
        <f t="shared" si="44"/>
        <v>783.6262568634661</v>
      </c>
      <c r="AO113" s="937">
        <f t="shared" si="37"/>
        <v>250</v>
      </c>
      <c r="AP113" s="937">
        <f>SUM(AP22:AP43)</f>
        <v>394</v>
      </c>
      <c r="AQ113" s="822">
        <v>14</v>
      </c>
      <c r="AR113" s="416"/>
    </row>
    <row r="114" spans="1:44" ht="20.25">
      <c r="A114" s="822">
        <v>15</v>
      </c>
      <c r="B114" s="822" t="s">
        <v>334</v>
      </c>
      <c r="C114" s="822"/>
      <c r="D114" s="822"/>
      <c r="E114" s="822"/>
      <c r="F114" s="822"/>
      <c r="G114" s="822"/>
      <c r="H114" s="822"/>
      <c r="I114" s="822"/>
      <c r="J114" s="933">
        <f>SUM(J44:J45)</f>
        <v>567.6223</v>
      </c>
      <c r="K114" s="933">
        <f>SUM(K44:K45)</f>
        <v>0</v>
      </c>
      <c r="L114" s="933">
        <f>SUM(L44:L45)</f>
        <v>567.6223</v>
      </c>
      <c r="M114" s="891">
        <f t="shared" si="38"/>
        <v>0.07461644829669306</v>
      </c>
      <c r="N114" s="934">
        <f>SUM(N44:N45)</f>
        <v>42.35396</v>
      </c>
      <c r="O114" s="933">
        <f>SUM(O44:O45)</f>
        <v>667</v>
      </c>
      <c r="P114" s="933">
        <f>SUM(P44:P45)</f>
        <v>0</v>
      </c>
      <c r="Q114" s="933">
        <f>SUM(Q44:Q45)</f>
        <v>667</v>
      </c>
      <c r="R114" s="891">
        <f t="shared" si="39"/>
        <v>0.3</v>
      </c>
      <c r="S114" s="935">
        <f>SUM(S44:S45)</f>
        <v>200.1</v>
      </c>
      <c r="T114" s="934">
        <f>SUM(T44:T45)</f>
        <v>540</v>
      </c>
      <c r="U114" s="933">
        <f>SUM(U44:U45)</f>
        <v>0</v>
      </c>
      <c r="V114" s="933">
        <f>SUM(V44:V45)</f>
        <v>0</v>
      </c>
      <c r="W114" s="933">
        <f>SUM(W44:W45)</f>
        <v>0</v>
      </c>
      <c r="X114" s="891"/>
      <c r="Y114" s="935">
        <f>SUM(Y44:Y45)</f>
        <v>0</v>
      </c>
      <c r="Z114" s="934">
        <f>SUM(Z44:Z45)</f>
        <v>0</v>
      </c>
      <c r="AA114" s="936">
        <f t="shared" si="40"/>
        <v>1234.6223</v>
      </c>
      <c r="AB114" s="936">
        <f t="shared" si="41"/>
        <v>0</v>
      </c>
      <c r="AC114" s="936"/>
      <c r="AD114" s="840">
        <f t="shared" si="42"/>
        <v>1234.6223</v>
      </c>
      <c r="AE114" s="839">
        <f t="shared" si="43"/>
        <v>0.19637905454971938</v>
      </c>
      <c r="AF114" s="561"/>
      <c r="AG114" s="561"/>
      <c r="AH114" s="561"/>
      <c r="AI114" s="561"/>
      <c r="AJ114" s="561"/>
      <c r="AK114" s="561"/>
      <c r="AL114" s="561"/>
      <c r="AM114" s="561"/>
      <c r="AN114" s="840">
        <f t="shared" si="44"/>
        <v>242.45396</v>
      </c>
      <c r="AO114" s="937">
        <f t="shared" si="37"/>
        <v>540</v>
      </c>
      <c r="AP114" s="937">
        <f>SUM(AP44:AP45)</f>
        <v>0</v>
      </c>
      <c r="AQ114" s="822">
        <v>15</v>
      </c>
      <c r="AR114" s="416"/>
    </row>
    <row r="115" spans="1:44" ht="20.25">
      <c r="A115" s="822">
        <v>16</v>
      </c>
      <c r="B115" s="822" t="s">
        <v>216</v>
      </c>
      <c r="C115" s="822"/>
      <c r="D115" s="822"/>
      <c r="E115" s="822"/>
      <c r="F115" s="822"/>
      <c r="G115" s="822"/>
      <c r="H115" s="822"/>
      <c r="I115" s="822"/>
      <c r="J115" s="933">
        <f>SUM(J46)</f>
        <v>170.74</v>
      </c>
      <c r="K115" s="933">
        <f>SUM(K46)</f>
        <v>0</v>
      </c>
      <c r="L115" s="933">
        <f>SUM(L46)</f>
        <v>170.74</v>
      </c>
      <c r="M115" s="891">
        <f t="shared" si="38"/>
        <v>0.1</v>
      </c>
      <c r="N115" s="934">
        <f>SUM(N46)</f>
        <v>17.074</v>
      </c>
      <c r="O115" s="933">
        <f>SUM(O46)</f>
        <v>956</v>
      </c>
      <c r="P115" s="933">
        <f>SUM(P46)</f>
        <v>0</v>
      </c>
      <c r="Q115" s="933">
        <f>SUM(Q46)</f>
        <v>956</v>
      </c>
      <c r="R115" s="891">
        <f t="shared" si="39"/>
        <v>0.2</v>
      </c>
      <c r="S115" s="935">
        <f>SUM(S46)</f>
        <v>191.20000000000002</v>
      </c>
      <c r="T115" s="934">
        <f>SUM(T46)</f>
        <v>50</v>
      </c>
      <c r="U115" s="933">
        <f>SUM(U46)</f>
        <v>17</v>
      </c>
      <c r="V115" s="933">
        <f>SUM(V46)</f>
        <v>0</v>
      </c>
      <c r="W115" s="933">
        <f>SUM(W46)</f>
        <v>17</v>
      </c>
      <c r="X115" s="891">
        <f aca="true" t="shared" si="45" ref="X115:X125">Y115/U115</f>
        <v>0</v>
      </c>
      <c r="Y115" s="935">
        <f>SUM(Y46)</f>
        <v>0</v>
      </c>
      <c r="Z115" s="934">
        <f>SUM(Z46)</f>
        <v>0</v>
      </c>
      <c r="AA115" s="936">
        <f t="shared" si="40"/>
        <v>1143.74</v>
      </c>
      <c r="AB115" s="936">
        <f t="shared" si="41"/>
        <v>0</v>
      </c>
      <c r="AC115" s="936"/>
      <c r="AD115" s="840">
        <f t="shared" si="42"/>
        <v>1143.74</v>
      </c>
      <c r="AE115" s="839">
        <f t="shared" si="43"/>
        <v>0.18209907846188822</v>
      </c>
      <c r="AF115" s="561"/>
      <c r="AG115" s="561"/>
      <c r="AH115" s="561"/>
      <c r="AI115" s="561"/>
      <c r="AJ115" s="561"/>
      <c r="AK115" s="561"/>
      <c r="AL115" s="561"/>
      <c r="AM115" s="561"/>
      <c r="AN115" s="840">
        <f t="shared" si="44"/>
        <v>208.27400000000003</v>
      </c>
      <c r="AO115" s="937">
        <f t="shared" si="37"/>
        <v>50</v>
      </c>
      <c r="AP115" s="937">
        <f>SUM(AP46)</f>
        <v>0</v>
      </c>
      <c r="AQ115" s="822">
        <v>16</v>
      </c>
      <c r="AR115" s="416"/>
    </row>
    <row r="116" spans="1:44" ht="20.25">
      <c r="A116" s="822">
        <v>17</v>
      </c>
      <c r="B116" s="822" t="s">
        <v>335</v>
      </c>
      <c r="C116" s="822"/>
      <c r="D116" s="822"/>
      <c r="E116" s="822"/>
      <c r="F116" s="822"/>
      <c r="G116" s="822"/>
      <c r="H116" s="822"/>
      <c r="I116" s="822"/>
      <c r="J116" s="933">
        <f>SUM(J47:J49)</f>
        <v>58.96627200000003</v>
      </c>
      <c r="K116" s="933">
        <f>SUM(K47:K49)</f>
        <v>0</v>
      </c>
      <c r="L116" s="933">
        <f>SUM(L47:L49)</f>
        <v>58.96627200000003</v>
      </c>
      <c r="M116" s="891">
        <f t="shared" si="38"/>
        <v>0</v>
      </c>
      <c r="N116" s="934">
        <f>SUM(N47:N49)</f>
        <v>0</v>
      </c>
      <c r="O116" s="933">
        <f>SUM(O47:O49)</f>
        <v>674</v>
      </c>
      <c r="P116" s="933">
        <f>SUM(P47:P49)</f>
        <v>0</v>
      </c>
      <c r="Q116" s="933">
        <f>SUM(Q47:Q49)</f>
        <v>674</v>
      </c>
      <c r="R116" s="891">
        <f t="shared" si="39"/>
        <v>0.25</v>
      </c>
      <c r="S116" s="935">
        <f>SUM(S47:S49)</f>
        <v>168.5</v>
      </c>
      <c r="T116" s="934">
        <f>SUM(T47:T49)</f>
        <v>100</v>
      </c>
      <c r="U116" s="933">
        <f>SUM(U47:U49)</f>
        <v>55</v>
      </c>
      <c r="V116" s="933">
        <f>SUM(V47:V49)</f>
        <v>0</v>
      </c>
      <c r="W116" s="933">
        <f>SUM(W47:W49)</f>
        <v>55</v>
      </c>
      <c r="X116" s="891">
        <f t="shared" si="45"/>
        <v>0</v>
      </c>
      <c r="Y116" s="935">
        <f>SUM(Y47:Y49)</f>
        <v>0</v>
      </c>
      <c r="Z116" s="934">
        <f>SUM(Z47:Z49)</f>
        <v>50</v>
      </c>
      <c r="AA116" s="936">
        <f t="shared" si="40"/>
        <v>787.966272</v>
      </c>
      <c r="AB116" s="936">
        <f t="shared" si="41"/>
        <v>0</v>
      </c>
      <c r="AC116" s="936"/>
      <c r="AD116" s="840">
        <f t="shared" si="42"/>
        <v>787.966272</v>
      </c>
      <c r="AE116" s="839">
        <f t="shared" si="43"/>
        <v>0.21384164016604</v>
      </c>
      <c r="AF116" s="561"/>
      <c r="AG116" s="561"/>
      <c r="AH116" s="561"/>
      <c r="AI116" s="561"/>
      <c r="AJ116" s="561"/>
      <c r="AK116" s="561"/>
      <c r="AL116" s="561"/>
      <c r="AM116" s="561"/>
      <c r="AN116" s="840">
        <f t="shared" si="44"/>
        <v>168.5</v>
      </c>
      <c r="AO116" s="937">
        <f t="shared" si="37"/>
        <v>150</v>
      </c>
      <c r="AP116" s="937">
        <f>SUM(AP47:AP49)</f>
        <v>0</v>
      </c>
      <c r="AQ116" s="822">
        <v>17</v>
      </c>
      <c r="AR116" s="416"/>
    </row>
    <row r="117" spans="1:44" ht="20.25">
      <c r="A117" s="822">
        <v>18</v>
      </c>
      <c r="B117" s="822" t="s">
        <v>217</v>
      </c>
      <c r="C117" s="822"/>
      <c r="D117" s="822"/>
      <c r="E117" s="822"/>
      <c r="F117" s="822"/>
      <c r="G117" s="822"/>
      <c r="H117" s="822"/>
      <c r="I117" s="822"/>
      <c r="J117" s="933">
        <f>SUM(J50:J56)</f>
        <v>2318.19878589</v>
      </c>
      <c r="K117" s="933">
        <f>SUM(K50:K56)</f>
        <v>0</v>
      </c>
      <c r="L117" s="933">
        <f>SUM(L50:L56)</f>
        <v>2318.19878589</v>
      </c>
      <c r="M117" s="891">
        <f t="shared" si="38"/>
        <v>0.1722620507491064</v>
      </c>
      <c r="N117" s="934">
        <f>SUM(N50:N56)</f>
        <v>399.3376769015</v>
      </c>
      <c r="O117" s="933">
        <f>SUM(O50:O56)</f>
        <v>1693.4</v>
      </c>
      <c r="P117" s="933">
        <f>SUM(P50:P56)</f>
        <v>-11.7</v>
      </c>
      <c r="Q117" s="933">
        <f>SUM(Q50:Q56)</f>
        <v>1681.7</v>
      </c>
      <c r="R117" s="891">
        <f t="shared" si="39"/>
        <v>0.39984752568796506</v>
      </c>
      <c r="S117" s="935">
        <f>SUM(S50:S56)</f>
        <v>677.1018</v>
      </c>
      <c r="T117" s="934">
        <f>SUM(T50:T56)</f>
        <v>600</v>
      </c>
      <c r="U117" s="933">
        <f>SUM(U50:U56)</f>
        <v>11.5</v>
      </c>
      <c r="V117" s="933">
        <f>SUM(V50:V56)</f>
        <v>-11.5</v>
      </c>
      <c r="W117" s="933">
        <f>SUM(W50:W56)</f>
        <v>0</v>
      </c>
      <c r="X117" s="891">
        <f t="shared" si="45"/>
        <v>0</v>
      </c>
      <c r="Y117" s="935">
        <f>SUM(Y50:Y56)</f>
        <v>0</v>
      </c>
      <c r="Z117" s="934">
        <f>SUM(Z50:Z56)</f>
        <v>700</v>
      </c>
      <c r="AA117" s="936">
        <f t="shared" si="40"/>
        <v>4023.0987858900003</v>
      </c>
      <c r="AB117" s="936">
        <f t="shared" si="41"/>
        <v>-23.2</v>
      </c>
      <c r="AC117" s="936"/>
      <c r="AD117" s="840">
        <f t="shared" si="42"/>
        <v>3999.89878589</v>
      </c>
      <c r="AE117" s="839">
        <f t="shared" si="43"/>
        <v>0.2691166788266584</v>
      </c>
      <c r="AF117" s="561"/>
      <c r="AG117" s="561"/>
      <c r="AH117" s="561"/>
      <c r="AI117" s="561"/>
      <c r="AJ117" s="561"/>
      <c r="AK117" s="561"/>
      <c r="AL117" s="561"/>
      <c r="AM117" s="561"/>
      <c r="AN117" s="840">
        <f t="shared" si="44"/>
        <v>1076.4394769015</v>
      </c>
      <c r="AO117" s="937">
        <f t="shared" si="37"/>
        <v>1300</v>
      </c>
      <c r="AP117" s="937">
        <f>SUM(AP50:AP56)</f>
        <v>744</v>
      </c>
      <c r="AQ117" s="822">
        <v>18</v>
      </c>
      <c r="AR117" s="416"/>
    </row>
    <row r="118" spans="1:44" ht="20.25">
      <c r="A118" s="822">
        <v>19</v>
      </c>
      <c r="B118" s="822" t="s">
        <v>336</v>
      </c>
      <c r="C118" s="822"/>
      <c r="D118" s="822"/>
      <c r="E118" s="822"/>
      <c r="F118" s="822"/>
      <c r="G118" s="822"/>
      <c r="H118" s="822"/>
      <c r="I118" s="822"/>
      <c r="J118" s="933">
        <f>SUM(J57)</f>
        <v>172.2641231999997</v>
      </c>
      <c r="K118" s="933">
        <f>SUM(K57)</f>
        <v>0</v>
      </c>
      <c r="L118" s="933">
        <f>SUM(L57)</f>
        <v>172.2641231999997</v>
      </c>
      <c r="M118" s="891">
        <f t="shared" si="38"/>
        <v>0.05</v>
      </c>
      <c r="N118" s="934">
        <f>SUM(N57)</f>
        <v>8.613206159999985</v>
      </c>
      <c r="O118" s="933">
        <f>SUM(O57)</f>
        <v>251.5</v>
      </c>
      <c r="P118" s="933">
        <f>SUM(P57)</f>
        <v>0</v>
      </c>
      <c r="Q118" s="933">
        <f>SUM(Q57)</f>
        <v>251.5</v>
      </c>
      <c r="R118" s="891">
        <f t="shared" si="39"/>
        <v>0.05</v>
      </c>
      <c r="S118" s="935">
        <f>SUM(S57)</f>
        <v>12.575000000000001</v>
      </c>
      <c r="T118" s="934">
        <f>SUM(T57)</f>
        <v>0</v>
      </c>
      <c r="U118" s="933">
        <f>SUM(U57)</f>
        <v>153</v>
      </c>
      <c r="V118" s="933">
        <f>SUM(V57)</f>
        <v>0</v>
      </c>
      <c r="W118" s="933">
        <f>SUM(W57)</f>
        <v>153</v>
      </c>
      <c r="X118" s="891">
        <f t="shared" si="45"/>
        <v>0</v>
      </c>
      <c r="Y118" s="935">
        <f>SUM(Y57)</f>
        <v>0</v>
      </c>
      <c r="Z118" s="934">
        <f>SUM(Z57)</f>
        <v>200</v>
      </c>
      <c r="AA118" s="936">
        <f t="shared" si="40"/>
        <v>576.7641231999996</v>
      </c>
      <c r="AB118" s="936">
        <f t="shared" si="41"/>
        <v>0</v>
      </c>
      <c r="AC118" s="936"/>
      <c r="AD118" s="840">
        <f t="shared" si="42"/>
        <v>576.7641231999996</v>
      </c>
      <c r="AE118" s="839">
        <f t="shared" si="43"/>
        <v>0.0367363456007695</v>
      </c>
      <c r="AF118" s="561"/>
      <c r="AG118" s="561"/>
      <c r="AH118" s="561"/>
      <c r="AI118" s="561"/>
      <c r="AJ118" s="561"/>
      <c r="AK118" s="561"/>
      <c r="AL118" s="561"/>
      <c r="AM118" s="561"/>
      <c r="AN118" s="840">
        <f t="shared" si="44"/>
        <v>21.188206159999986</v>
      </c>
      <c r="AO118" s="937">
        <f t="shared" si="37"/>
        <v>200</v>
      </c>
      <c r="AP118" s="937">
        <f>SUM(AP57)</f>
        <v>0</v>
      </c>
      <c r="AQ118" s="822">
        <v>19</v>
      </c>
      <c r="AR118" s="416"/>
    </row>
    <row r="119" spans="1:44" ht="20.25">
      <c r="A119" s="822">
        <v>2</v>
      </c>
      <c r="B119" s="822" t="s">
        <v>337</v>
      </c>
      <c r="C119" s="822"/>
      <c r="D119" s="822"/>
      <c r="E119" s="822"/>
      <c r="F119" s="822"/>
      <c r="G119" s="822"/>
      <c r="H119" s="822"/>
      <c r="I119" s="822"/>
      <c r="J119" s="933">
        <f>SUM(J58:J61)</f>
        <v>0</v>
      </c>
      <c r="K119" s="933">
        <f>SUM(K58:K61)</f>
        <v>0</v>
      </c>
      <c r="L119" s="933">
        <f>SUM(L58:L61)</f>
        <v>0</v>
      </c>
      <c r="M119" s="891"/>
      <c r="N119" s="934">
        <f>SUM(N58:N61)</f>
        <v>0</v>
      </c>
      <c r="O119" s="933">
        <f>SUM(O58:O61)</f>
        <v>138.2</v>
      </c>
      <c r="P119" s="933">
        <f>SUM(P58:P61)</f>
        <v>0</v>
      </c>
      <c r="Q119" s="933">
        <f>SUM(Q58:Q61)</f>
        <v>138.2</v>
      </c>
      <c r="R119" s="891">
        <f t="shared" si="39"/>
        <v>0.1</v>
      </c>
      <c r="S119" s="935">
        <f>SUM(S58:S61)</f>
        <v>13.82</v>
      </c>
      <c r="T119" s="934">
        <f>SUM(T58:T61)</f>
        <v>0</v>
      </c>
      <c r="U119" s="933">
        <f>SUM(U58:U61)</f>
        <v>0</v>
      </c>
      <c r="V119" s="933">
        <f>SUM(V58:V61)</f>
        <v>0</v>
      </c>
      <c r="W119" s="933">
        <f>SUM(W58:W61)</f>
        <v>0</v>
      </c>
      <c r="X119" s="891"/>
      <c r="Y119" s="935">
        <f>SUM(Y58:Y61)</f>
        <v>0</v>
      </c>
      <c r="Z119" s="934">
        <f>SUM(Z58:Z61)</f>
        <v>50</v>
      </c>
      <c r="AA119" s="936">
        <f t="shared" si="40"/>
        <v>138.2</v>
      </c>
      <c r="AB119" s="936">
        <f t="shared" si="41"/>
        <v>0</v>
      </c>
      <c r="AC119" s="936"/>
      <c r="AD119" s="840">
        <f t="shared" si="42"/>
        <v>138.2</v>
      </c>
      <c r="AE119" s="839">
        <f t="shared" si="43"/>
        <v>0.1</v>
      </c>
      <c r="AF119" s="561"/>
      <c r="AG119" s="561"/>
      <c r="AH119" s="561"/>
      <c r="AI119" s="561"/>
      <c r="AJ119" s="561"/>
      <c r="AK119" s="561"/>
      <c r="AL119" s="561"/>
      <c r="AM119" s="561"/>
      <c r="AN119" s="840">
        <f t="shared" si="44"/>
        <v>13.82</v>
      </c>
      <c r="AO119" s="937">
        <f t="shared" si="37"/>
        <v>50</v>
      </c>
      <c r="AP119" s="937">
        <f>SUM(AP58:AP61)</f>
        <v>0</v>
      </c>
      <c r="AQ119" s="822">
        <v>2</v>
      </c>
      <c r="AR119" s="416"/>
    </row>
    <row r="120" spans="1:44" ht="20.25">
      <c r="A120" s="822">
        <v>3</v>
      </c>
      <c r="B120" s="822" t="s">
        <v>338</v>
      </c>
      <c r="C120" s="822"/>
      <c r="D120" s="822"/>
      <c r="E120" s="822"/>
      <c r="F120" s="822"/>
      <c r="G120" s="822"/>
      <c r="H120" s="822"/>
      <c r="I120" s="822"/>
      <c r="J120" s="933">
        <f>SUM(J62:J65)</f>
        <v>137.09896617000004</v>
      </c>
      <c r="K120" s="933">
        <f>SUM(K62:K65)</f>
        <v>0</v>
      </c>
      <c r="L120" s="933">
        <f>SUM(L62:L65)</f>
        <v>137.09896617000004</v>
      </c>
      <c r="M120" s="891">
        <f t="shared" si="38"/>
        <v>0.131855376473697</v>
      </c>
      <c r="N120" s="934">
        <f>SUM(N62:N65)</f>
        <v>18.077235798500002</v>
      </c>
      <c r="O120" s="933">
        <f>SUM(O62:O65)</f>
        <v>59.6</v>
      </c>
      <c r="P120" s="933">
        <f>SUM(P62:P65)</f>
        <v>0</v>
      </c>
      <c r="Q120" s="933">
        <f>SUM(Q62:Q65)</f>
        <v>59.6</v>
      </c>
      <c r="R120" s="891">
        <f t="shared" si="39"/>
        <v>0.21543624161073824</v>
      </c>
      <c r="S120" s="935">
        <f>SUM(S62:S65)</f>
        <v>12.84</v>
      </c>
      <c r="T120" s="934">
        <f>SUM(T62:T65)</f>
        <v>0</v>
      </c>
      <c r="U120" s="933">
        <f>SUM(U62:U65)</f>
        <v>0.1</v>
      </c>
      <c r="V120" s="933">
        <f>SUM(V62:V65)</f>
        <v>0</v>
      </c>
      <c r="W120" s="933">
        <f>SUM(W62:W65)</f>
        <v>0.1</v>
      </c>
      <c r="X120" s="891">
        <f t="shared" si="45"/>
        <v>0</v>
      </c>
      <c r="Y120" s="935">
        <f>SUM(Y62:Y65)</f>
        <v>0</v>
      </c>
      <c r="Z120" s="934">
        <f>SUM(Z62:Z65)</f>
        <v>175</v>
      </c>
      <c r="AA120" s="936">
        <f t="shared" si="40"/>
        <v>196.79896617000003</v>
      </c>
      <c r="AB120" s="936">
        <f t="shared" si="41"/>
        <v>0</v>
      </c>
      <c r="AC120" s="936"/>
      <c r="AD120" s="840">
        <f t="shared" si="42"/>
        <v>196.79896617000003</v>
      </c>
      <c r="AE120" s="839">
        <f t="shared" si="43"/>
        <v>0.1571006006799492</v>
      </c>
      <c r="AF120" s="561"/>
      <c r="AG120" s="561"/>
      <c r="AH120" s="561"/>
      <c r="AI120" s="561"/>
      <c r="AJ120" s="561"/>
      <c r="AK120" s="561"/>
      <c r="AL120" s="561"/>
      <c r="AM120" s="561"/>
      <c r="AN120" s="840">
        <f t="shared" si="44"/>
        <v>30.917235798500002</v>
      </c>
      <c r="AO120" s="937">
        <f t="shared" si="37"/>
        <v>175</v>
      </c>
      <c r="AP120" s="937">
        <f>SUM(AP62:AP65)</f>
        <v>0</v>
      </c>
      <c r="AQ120" s="822">
        <v>3</v>
      </c>
      <c r="AR120" s="416"/>
    </row>
    <row r="121" spans="1:44" ht="20.25">
      <c r="A121" s="822">
        <v>4</v>
      </c>
      <c r="B121" s="822" t="s">
        <v>339</v>
      </c>
      <c r="C121" s="822"/>
      <c r="D121" s="822"/>
      <c r="E121" s="822"/>
      <c r="F121" s="822"/>
      <c r="G121" s="822"/>
      <c r="H121" s="822"/>
      <c r="I121" s="822"/>
      <c r="J121" s="933">
        <f>SUM(J66:J70)</f>
        <v>0</v>
      </c>
      <c r="K121" s="933">
        <f>SUM(K66:K70)</f>
        <v>-229</v>
      </c>
      <c r="L121" s="933">
        <f>SUM(L66:L70)</f>
        <v>-229</v>
      </c>
      <c r="M121" s="891"/>
      <c r="N121" s="934">
        <f>SUM(N66:N70)</f>
        <v>0</v>
      </c>
      <c r="O121" s="933">
        <f>SUM(O66:O70)</f>
        <v>2287</v>
      </c>
      <c r="P121" s="933">
        <f>SUM(P66:P70)</f>
        <v>-401</v>
      </c>
      <c r="Q121" s="933">
        <f>SUM(Q66:Q70)</f>
        <v>1886</v>
      </c>
      <c r="R121" s="891">
        <f t="shared" si="39"/>
        <v>0.08246611281154352</v>
      </c>
      <c r="S121" s="935">
        <f>SUM(S66:S70)</f>
        <v>188.60000000000002</v>
      </c>
      <c r="T121" s="934">
        <f>SUM(T66:T70)</f>
        <v>0</v>
      </c>
      <c r="U121" s="933">
        <f>SUM(U66:U70)</f>
        <v>173</v>
      </c>
      <c r="V121" s="933">
        <f>SUM(V66:V70)</f>
        <v>0</v>
      </c>
      <c r="W121" s="933">
        <f>SUM(W66:W70)</f>
        <v>173</v>
      </c>
      <c r="X121" s="891">
        <f t="shared" si="45"/>
        <v>0</v>
      </c>
      <c r="Y121" s="935">
        <f>SUM(Y66:Y70)</f>
        <v>0</v>
      </c>
      <c r="Z121" s="934">
        <f>SUM(Z66:Z70)</f>
        <v>375</v>
      </c>
      <c r="AA121" s="936">
        <f t="shared" si="40"/>
        <v>2460</v>
      </c>
      <c r="AB121" s="936">
        <f t="shared" si="41"/>
        <v>-630</v>
      </c>
      <c r="AC121" s="936"/>
      <c r="AD121" s="840">
        <f t="shared" si="42"/>
        <v>1830</v>
      </c>
      <c r="AE121" s="839">
        <f t="shared" si="43"/>
        <v>0.1030601092896175</v>
      </c>
      <c r="AF121" s="561"/>
      <c r="AG121" s="561"/>
      <c r="AH121" s="561"/>
      <c r="AI121" s="561"/>
      <c r="AJ121" s="561"/>
      <c r="AK121" s="561"/>
      <c r="AL121" s="561"/>
      <c r="AM121" s="561"/>
      <c r="AN121" s="840">
        <f t="shared" si="44"/>
        <v>188.60000000000002</v>
      </c>
      <c r="AO121" s="937">
        <f t="shared" si="37"/>
        <v>375</v>
      </c>
      <c r="AP121" s="937">
        <f>SUM(AP66:AP70)</f>
        <v>0</v>
      </c>
      <c r="AQ121" s="822">
        <v>4</v>
      </c>
      <c r="AR121" s="416"/>
    </row>
    <row r="122" spans="1:44" ht="20.25">
      <c r="A122" s="822">
        <v>5</v>
      </c>
      <c r="B122" s="822" t="s">
        <v>340</v>
      </c>
      <c r="C122" s="822"/>
      <c r="D122" s="822"/>
      <c r="E122" s="822"/>
      <c r="F122" s="822"/>
      <c r="G122" s="822"/>
      <c r="H122" s="822"/>
      <c r="I122" s="822"/>
      <c r="J122" s="933">
        <f>SUM(J71:J77)</f>
        <v>0</v>
      </c>
      <c r="K122" s="933">
        <f>SUM(K71:K77)</f>
        <v>0</v>
      </c>
      <c r="L122" s="933">
        <f>SUM(L71:L77)</f>
        <v>0</v>
      </c>
      <c r="M122" s="891"/>
      <c r="N122" s="934">
        <f>SUM(N71:N77)</f>
        <v>0</v>
      </c>
      <c r="O122" s="933">
        <f>SUM(O71:O77)</f>
        <v>730.1</v>
      </c>
      <c r="P122" s="933">
        <f>SUM(P71:P77)</f>
        <v>0</v>
      </c>
      <c r="Q122" s="933">
        <f>SUM(Q71:Q77)</f>
        <v>730.1</v>
      </c>
      <c r="R122" s="891">
        <f t="shared" si="39"/>
        <v>0.1</v>
      </c>
      <c r="S122" s="935">
        <f>SUM(S71:S77)</f>
        <v>73.01</v>
      </c>
      <c r="T122" s="934">
        <f>SUM(T71:T77)</f>
        <v>0</v>
      </c>
      <c r="U122" s="933">
        <f>SUM(U71:U77)</f>
        <v>23</v>
      </c>
      <c r="V122" s="933">
        <f>SUM(V71:V77)</f>
        <v>0</v>
      </c>
      <c r="W122" s="933">
        <f>SUM(W71:W77)</f>
        <v>23</v>
      </c>
      <c r="X122" s="891">
        <f t="shared" si="45"/>
        <v>0</v>
      </c>
      <c r="Y122" s="935">
        <f>SUM(Y71:Y77)</f>
        <v>0</v>
      </c>
      <c r="Z122" s="934">
        <f>SUM(Z71:Z77)</f>
        <v>290</v>
      </c>
      <c r="AA122" s="936">
        <f t="shared" si="40"/>
        <v>753.1</v>
      </c>
      <c r="AB122" s="936">
        <f t="shared" si="41"/>
        <v>0</v>
      </c>
      <c r="AC122" s="936"/>
      <c r="AD122" s="840">
        <f t="shared" si="42"/>
        <v>753.1</v>
      </c>
      <c r="AE122" s="839">
        <f t="shared" si="43"/>
        <v>0.09694595671225602</v>
      </c>
      <c r="AF122" s="561"/>
      <c r="AG122" s="561"/>
      <c r="AH122" s="561"/>
      <c r="AI122" s="561"/>
      <c r="AJ122" s="561"/>
      <c r="AK122" s="561"/>
      <c r="AL122" s="561"/>
      <c r="AM122" s="561"/>
      <c r="AN122" s="840">
        <f t="shared" si="44"/>
        <v>73.01</v>
      </c>
      <c r="AO122" s="937">
        <f t="shared" si="37"/>
        <v>290</v>
      </c>
      <c r="AP122" s="937">
        <f>SUM(AP71:AP77)</f>
        <v>0</v>
      </c>
      <c r="AQ122" s="822">
        <v>5</v>
      </c>
      <c r="AR122" s="416"/>
    </row>
    <row r="123" spans="1:44" ht="20.25">
      <c r="A123" s="822">
        <v>6</v>
      </c>
      <c r="B123" s="822" t="s">
        <v>341</v>
      </c>
      <c r="C123" s="822"/>
      <c r="D123" s="822"/>
      <c r="E123" s="822"/>
      <c r="F123" s="822"/>
      <c r="G123" s="822"/>
      <c r="H123" s="822"/>
      <c r="I123" s="822"/>
      <c r="J123" s="933">
        <f>SUM(J78:J82)</f>
        <v>0</v>
      </c>
      <c r="K123" s="933">
        <f>SUM(K78:K82)</f>
        <v>0</v>
      </c>
      <c r="L123" s="933">
        <f>SUM(L78:L82)</f>
        <v>0</v>
      </c>
      <c r="M123" s="891"/>
      <c r="N123" s="934">
        <f>SUM(N78:N82)</f>
        <v>0</v>
      </c>
      <c r="O123" s="933">
        <f>SUM(O78:O82)</f>
        <v>576</v>
      </c>
      <c r="P123" s="933">
        <f>SUM(P78:P82)</f>
        <v>0</v>
      </c>
      <c r="Q123" s="933">
        <f>SUM(Q78:Q82)</f>
        <v>576</v>
      </c>
      <c r="R123" s="891">
        <f t="shared" si="39"/>
        <v>0.5458333333333333</v>
      </c>
      <c r="S123" s="935">
        <f>SUM(S78:S82)</f>
        <v>314.4</v>
      </c>
      <c r="T123" s="934">
        <f>SUM(T78:T82)</f>
        <v>0</v>
      </c>
      <c r="U123" s="933">
        <f>SUM(U78:U82)</f>
        <v>0</v>
      </c>
      <c r="V123" s="933">
        <f>SUM(V78:V82)</f>
        <v>0</v>
      </c>
      <c r="W123" s="933">
        <f>SUM(W78:W82)</f>
        <v>0</v>
      </c>
      <c r="X123" s="891"/>
      <c r="Y123" s="935">
        <f>SUM(Y78:Y82)</f>
        <v>0</v>
      </c>
      <c r="Z123" s="934">
        <f>SUM(Z78:Z82)</f>
        <v>100</v>
      </c>
      <c r="AA123" s="936">
        <f t="shared" si="40"/>
        <v>576</v>
      </c>
      <c r="AB123" s="936">
        <f t="shared" si="41"/>
        <v>0</v>
      </c>
      <c r="AC123" s="936"/>
      <c r="AD123" s="840">
        <f t="shared" si="42"/>
        <v>576</v>
      </c>
      <c r="AE123" s="839">
        <f t="shared" si="43"/>
        <v>0.5458333333333333</v>
      </c>
      <c r="AF123" s="561"/>
      <c r="AG123" s="561"/>
      <c r="AH123" s="561"/>
      <c r="AI123" s="561"/>
      <c r="AJ123" s="561"/>
      <c r="AK123" s="561"/>
      <c r="AL123" s="561"/>
      <c r="AM123" s="561"/>
      <c r="AN123" s="840">
        <f t="shared" si="44"/>
        <v>314.4</v>
      </c>
      <c r="AO123" s="937">
        <f t="shared" si="37"/>
        <v>100</v>
      </c>
      <c r="AP123" s="937">
        <f>SUM(AP78:AP82)</f>
        <v>314</v>
      </c>
      <c r="AQ123" s="822">
        <v>6</v>
      </c>
      <c r="AR123" s="416"/>
    </row>
    <row r="124" spans="1:44" ht="20.25">
      <c r="A124" s="822">
        <v>7</v>
      </c>
      <c r="B124" s="822" t="s">
        <v>342</v>
      </c>
      <c r="C124" s="822"/>
      <c r="D124" s="822"/>
      <c r="E124" s="822"/>
      <c r="F124" s="822"/>
      <c r="G124" s="822"/>
      <c r="H124" s="822"/>
      <c r="I124" s="822"/>
      <c r="J124" s="933">
        <f>SUM(J83:J88)</f>
        <v>31.95593599999995</v>
      </c>
      <c r="K124" s="933">
        <f>SUM(K83:K88)</f>
        <v>0</v>
      </c>
      <c r="L124" s="933">
        <f>SUM(L83:L88)</f>
        <v>31.95593599999995</v>
      </c>
      <c r="M124" s="891">
        <f t="shared" si="38"/>
        <v>0.05</v>
      </c>
      <c r="N124" s="934">
        <f>SUM(N83:N88)</f>
        <v>1.5977967999999976</v>
      </c>
      <c r="O124" s="933">
        <f>SUM(O83:O88)</f>
        <v>1718.1</v>
      </c>
      <c r="P124" s="933">
        <f>SUM(P83:P88)</f>
        <v>0</v>
      </c>
      <c r="Q124" s="933">
        <f>SUM(Q83:Q88)</f>
        <v>1718.1</v>
      </c>
      <c r="R124" s="891">
        <f t="shared" si="39"/>
        <v>0.32185553809440665</v>
      </c>
      <c r="S124" s="935">
        <f>SUM(S83:S88)</f>
        <v>552.98</v>
      </c>
      <c r="T124" s="934">
        <f>SUM(T83:T88)</f>
        <v>300</v>
      </c>
      <c r="U124" s="933">
        <f>SUM(U83:U88)</f>
        <v>1125</v>
      </c>
      <c r="V124" s="933">
        <f>SUM(V83:V88)</f>
        <v>0</v>
      </c>
      <c r="W124" s="933">
        <f>SUM(W83:W88)</f>
        <v>1125</v>
      </c>
      <c r="X124" s="891">
        <f t="shared" si="45"/>
        <v>0.1269297925834047</v>
      </c>
      <c r="Y124" s="935">
        <f>SUM(Y83:Y88)</f>
        <v>142.7960166563303</v>
      </c>
      <c r="Z124" s="934">
        <f>SUM(Z83:Z88)</f>
        <v>1100</v>
      </c>
      <c r="AA124" s="936">
        <f t="shared" si="40"/>
        <v>2875.0559359999997</v>
      </c>
      <c r="AB124" s="936">
        <f t="shared" si="41"/>
        <v>0</v>
      </c>
      <c r="AC124" s="936"/>
      <c r="AD124" s="840">
        <f t="shared" si="42"/>
        <v>2875.0559359999997</v>
      </c>
      <c r="AE124" s="839">
        <f t="shared" si="43"/>
        <v>0.24256008543144056</v>
      </c>
      <c r="AF124" s="561"/>
      <c r="AG124" s="561"/>
      <c r="AH124" s="561"/>
      <c r="AI124" s="561"/>
      <c r="AJ124" s="561"/>
      <c r="AK124" s="561"/>
      <c r="AL124" s="561"/>
      <c r="AM124" s="561"/>
      <c r="AN124" s="840">
        <f t="shared" si="44"/>
        <v>697.3738134563303</v>
      </c>
      <c r="AO124" s="937">
        <f t="shared" si="37"/>
        <v>1400</v>
      </c>
      <c r="AP124" s="937">
        <f>SUM(AP83:AP88)</f>
        <v>0</v>
      </c>
      <c r="AQ124" s="822">
        <v>7</v>
      </c>
      <c r="AR124" s="416"/>
    </row>
    <row r="125" spans="1:44" ht="20.25">
      <c r="A125" s="822">
        <v>8</v>
      </c>
      <c r="B125" s="822" t="s">
        <v>343</v>
      </c>
      <c r="C125" s="822"/>
      <c r="D125" s="822"/>
      <c r="E125" s="822"/>
      <c r="F125" s="822"/>
      <c r="G125" s="822"/>
      <c r="H125" s="822"/>
      <c r="I125" s="822"/>
      <c r="J125" s="933">
        <f>SUM(J89:J98)</f>
        <v>1657.61033902839</v>
      </c>
      <c r="K125" s="933">
        <f>SUM(K89:K98)</f>
        <v>-310</v>
      </c>
      <c r="L125" s="933">
        <f>SUM(L89:L98)</f>
        <v>1347.61033902839</v>
      </c>
      <c r="M125" s="891">
        <f t="shared" si="38"/>
        <v>0.10336119009027553</v>
      </c>
      <c r="N125" s="934">
        <f>SUM(N89:N98)</f>
        <v>171.33257734791948</v>
      </c>
      <c r="O125" s="933">
        <f>SUM(O89:O98)</f>
        <v>1257.7</v>
      </c>
      <c r="P125" s="933">
        <f>SUM(P89:P98)</f>
        <v>-101</v>
      </c>
      <c r="Q125" s="933">
        <f>SUM(Q89:Q98)</f>
        <v>1156.7</v>
      </c>
      <c r="R125" s="891">
        <f t="shared" si="39"/>
        <v>0.41366780631311123</v>
      </c>
      <c r="S125" s="935">
        <f>SUM(S89:S98)</f>
        <v>520.27</v>
      </c>
      <c r="T125" s="934">
        <f>SUM(T89:T98)</f>
        <v>815</v>
      </c>
      <c r="U125" s="933">
        <f>SUM(U89:U98)</f>
        <v>733.5</v>
      </c>
      <c r="V125" s="933">
        <f>SUM(V89:V98)</f>
        <v>0</v>
      </c>
      <c r="W125" s="933">
        <f>SUM(W89:W98)</f>
        <v>733.5</v>
      </c>
      <c r="X125" s="891">
        <f t="shared" si="45"/>
        <v>0</v>
      </c>
      <c r="Y125" s="935">
        <f>SUM(Y89:Y98)</f>
        <v>0</v>
      </c>
      <c r="Z125" s="934">
        <f>SUM(Z89:Z98)</f>
        <v>510</v>
      </c>
      <c r="AA125" s="936">
        <f t="shared" si="40"/>
        <v>3648.81033902839</v>
      </c>
      <c r="AB125" s="936">
        <f t="shared" si="41"/>
        <v>-411</v>
      </c>
      <c r="AC125" s="936"/>
      <c r="AD125" s="840">
        <f t="shared" si="42"/>
        <v>3237.81033902839</v>
      </c>
      <c r="AE125" s="839">
        <f t="shared" si="43"/>
        <v>0.2136019423409023</v>
      </c>
      <c r="AF125" s="561"/>
      <c r="AG125" s="561"/>
      <c r="AH125" s="561"/>
      <c r="AI125" s="561"/>
      <c r="AJ125" s="561"/>
      <c r="AK125" s="561"/>
      <c r="AL125" s="561"/>
      <c r="AM125" s="561"/>
      <c r="AN125" s="840">
        <f t="shared" si="44"/>
        <v>691.6025773479195</v>
      </c>
      <c r="AO125" s="937">
        <f t="shared" si="37"/>
        <v>1325</v>
      </c>
      <c r="AP125" s="937">
        <f>SUM(AP89:AP98)</f>
        <v>690</v>
      </c>
      <c r="AQ125" s="822">
        <v>8</v>
      </c>
      <c r="AR125" s="416"/>
    </row>
    <row r="126" spans="1:44" ht="20.25">
      <c r="A126" s="822"/>
      <c r="B126" s="822"/>
      <c r="C126" s="822"/>
      <c r="D126" s="822"/>
      <c r="E126" s="822"/>
      <c r="F126" s="822"/>
      <c r="G126" s="822"/>
      <c r="H126" s="822"/>
      <c r="I126" s="822"/>
      <c r="J126" s="938">
        <f>SUM(J111:J125)</f>
        <v>11920.815095217418</v>
      </c>
      <c r="K126" s="939">
        <f>SUM(K111:K125)</f>
        <v>427</v>
      </c>
      <c r="L126" s="939">
        <f>SUM(L111:L125)</f>
        <v>12347.815095217418</v>
      </c>
      <c r="M126" s="940">
        <f>N126/J126</f>
        <v>0.11674729529017179</v>
      </c>
      <c r="N126" s="941">
        <f>SUM(N111:N125)</f>
        <v>1391.7229200208853</v>
      </c>
      <c r="O126" s="938">
        <f>SUM(O111:O125)</f>
        <v>12856.600000000002</v>
      </c>
      <c r="P126" s="939">
        <f>SUM(P111:P125)</f>
        <v>-415.7</v>
      </c>
      <c r="Q126" s="939">
        <f>SUM(Q111:Q125)</f>
        <v>12440.900000000001</v>
      </c>
      <c r="R126" s="940">
        <f>S126/O126</f>
        <v>0.268723130532178</v>
      </c>
      <c r="S126" s="939">
        <f>SUM(S111:S125)</f>
        <v>3454.8658000000005</v>
      </c>
      <c r="T126" s="941">
        <f>SUM(T111:T125)</f>
        <v>2705</v>
      </c>
      <c r="U126" s="938">
        <f>SUM(U111:U125)</f>
        <v>2291.1</v>
      </c>
      <c r="V126" s="939">
        <f>SUM(V111:V125)</f>
        <v>-11.5</v>
      </c>
      <c r="W126" s="939">
        <f>SUM(W111:W125)</f>
        <v>2279.6</v>
      </c>
      <c r="X126" s="940">
        <f>Y126/U126</f>
        <v>0.06232640070548221</v>
      </c>
      <c r="Y126" s="939">
        <f>SUM(Y111:Y125)</f>
        <v>142.7960166563303</v>
      </c>
      <c r="Z126" s="941">
        <f>SUM(Z111:Z125)</f>
        <v>3900.0225</v>
      </c>
      <c r="AA126" s="942">
        <f>SUM(AA111:AA125)</f>
        <v>27068.51509521742</v>
      </c>
      <c r="AB126" s="942">
        <f>SUM(AB111:AB125)</f>
        <v>-0.20000000000004547</v>
      </c>
      <c r="AC126" s="942"/>
      <c r="AD126" s="943">
        <f>SUM(AD111:AD125)</f>
        <v>27068.31509521742</v>
      </c>
      <c r="AE126" s="944">
        <f>+AN126/AD126</f>
        <v>0.18432564860894385</v>
      </c>
      <c r="AF126" s="562"/>
      <c r="AG126" s="562"/>
      <c r="AH126" s="1012"/>
      <c r="AI126" s="562"/>
      <c r="AJ126" s="562"/>
      <c r="AK126" s="562"/>
      <c r="AL126" s="562"/>
      <c r="AM126" s="562"/>
      <c r="AN126" s="945">
        <f>SUM(AN111:AN125)</f>
        <v>4989.384736677216</v>
      </c>
      <c r="AO126" s="946">
        <f>SUM(AO111:AO125)</f>
        <v>6605.0225</v>
      </c>
      <c r="AP126" s="946">
        <f>SUM(AP111:AP125)</f>
        <v>2342</v>
      </c>
      <c r="AQ126" s="659">
        <f>SUM(AP126,AO126,AN126,AD126)</f>
        <v>41004.722331894634</v>
      </c>
      <c r="AR126" s="416"/>
    </row>
    <row r="127" spans="1:44" ht="20.25">
      <c r="A127" s="822"/>
      <c r="B127" s="822" t="s">
        <v>90</v>
      </c>
      <c r="C127" s="822"/>
      <c r="D127" s="822"/>
      <c r="E127" s="822"/>
      <c r="F127" s="822"/>
      <c r="G127" s="822"/>
      <c r="H127" s="822"/>
      <c r="I127" s="822"/>
      <c r="J127" s="933">
        <f>SUM(J99)</f>
        <v>1828</v>
      </c>
      <c r="K127" s="935"/>
      <c r="L127" s="935"/>
      <c r="M127" s="891"/>
      <c r="N127" s="934"/>
      <c r="O127" s="933">
        <f>O99</f>
        <v>3075</v>
      </c>
      <c r="P127" s="935"/>
      <c r="Q127" s="935"/>
      <c r="R127" s="891"/>
      <c r="S127" s="935"/>
      <c r="T127" s="934"/>
      <c r="U127" s="933">
        <f>U99</f>
        <v>132</v>
      </c>
      <c r="V127" s="935"/>
      <c r="W127" s="935"/>
      <c r="X127" s="891"/>
      <c r="Y127" s="935"/>
      <c r="Z127" s="934"/>
      <c r="AA127" s="947">
        <f>SUM(J127,O127,U127)</f>
        <v>5035</v>
      </c>
      <c r="AB127" s="948"/>
      <c r="AC127" s="948"/>
      <c r="AD127" s="563"/>
      <c r="AE127" s="949"/>
      <c r="AF127" s="563"/>
      <c r="AG127" s="563"/>
      <c r="AH127" s="1013"/>
      <c r="AI127" s="563"/>
      <c r="AJ127" s="563"/>
      <c r="AK127" s="563"/>
      <c r="AL127" s="563"/>
      <c r="AM127" s="563"/>
      <c r="AN127" s="563"/>
      <c r="AO127" s="950"/>
      <c r="AP127" s="924"/>
      <c r="AQ127" s="416"/>
      <c r="AR127" s="416"/>
    </row>
    <row r="128" spans="1:44" ht="20.25">
      <c r="A128" s="822"/>
      <c r="B128" s="822" t="s">
        <v>116</v>
      </c>
      <c r="C128" s="822"/>
      <c r="D128" s="822"/>
      <c r="E128" s="822"/>
      <c r="F128" s="822"/>
      <c r="G128" s="822"/>
      <c r="H128" s="822"/>
      <c r="I128" s="822"/>
      <c r="J128" s="938">
        <f>J126+J127</f>
        <v>13748.815095217418</v>
      </c>
      <c r="K128" s="939"/>
      <c r="L128" s="939"/>
      <c r="M128" s="940"/>
      <c r="N128" s="941">
        <f>N126+N127</f>
        <v>1391.7229200208853</v>
      </c>
      <c r="O128" s="938">
        <f>O126+O127</f>
        <v>15931.600000000002</v>
      </c>
      <c r="P128" s="939"/>
      <c r="Q128" s="939"/>
      <c r="R128" s="940"/>
      <c r="S128" s="939">
        <f>S126+S127</f>
        <v>3454.8658000000005</v>
      </c>
      <c r="T128" s="941">
        <f>T126+T127</f>
        <v>2705</v>
      </c>
      <c r="U128" s="938">
        <f>U126+U127</f>
        <v>2423.1</v>
      </c>
      <c r="V128" s="939"/>
      <c r="W128" s="939"/>
      <c r="X128" s="940"/>
      <c r="Y128" s="939">
        <f>Y126+Y127</f>
        <v>142.7960166563303</v>
      </c>
      <c r="Z128" s="941">
        <f>Z126+Z127</f>
        <v>3900.0225</v>
      </c>
      <c r="AA128" s="951">
        <f>AA126+AA127</f>
        <v>32103.51509521742</v>
      </c>
      <c r="AB128" s="952"/>
      <c r="AC128" s="952"/>
      <c r="AD128" s="564"/>
      <c r="AE128" s="953"/>
      <c r="AF128" s="564"/>
      <c r="AG128" s="564"/>
      <c r="AI128" s="564"/>
      <c r="AJ128" s="564"/>
      <c r="AK128" s="564"/>
      <c r="AL128" s="564"/>
      <c r="AM128" s="564"/>
      <c r="AN128" s="564"/>
      <c r="AO128" s="559"/>
      <c r="AP128" s="924"/>
      <c r="AQ128" s="416"/>
      <c r="AR128" s="416"/>
    </row>
    <row r="129" spans="10:44" ht="20.25">
      <c r="J129" s="845">
        <f>SUM(J111:J125,J127)</f>
        <v>13748.815095217418</v>
      </c>
      <c r="AP129" s="924"/>
      <c r="AQ129" s="416"/>
      <c r="AR129" s="416"/>
    </row>
    <row r="130" spans="2:42" s="954" customFormat="1" ht="20.25">
      <c r="B130" s="954" t="s">
        <v>346</v>
      </c>
      <c r="N130" s="566">
        <f>SUM(L126,N126)</f>
        <v>13739.538015238304</v>
      </c>
      <c r="O130" s="566"/>
      <c r="P130" s="566"/>
      <c r="Q130" s="566"/>
      <c r="R130" s="566"/>
      <c r="S130" s="566">
        <f>SUM(Q126,S126)</f>
        <v>15895.765800000001</v>
      </c>
      <c r="T130" s="566"/>
      <c r="U130" s="566"/>
      <c r="V130" s="566"/>
      <c r="W130" s="566"/>
      <c r="X130" s="566"/>
      <c r="Y130" s="566">
        <f>SUM(W126,Y126)</f>
        <v>2422.39601665633</v>
      </c>
      <c r="Z130" s="566"/>
      <c r="AA130" s="566"/>
      <c r="AB130" s="566"/>
      <c r="AC130" s="566"/>
      <c r="AD130" s="955"/>
      <c r="AE130" s="956"/>
      <c r="AF130" s="566"/>
      <c r="AG130" s="566"/>
      <c r="AH130" s="1014"/>
      <c r="AI130" s="566"/>
      <c r="AJ130" s="566"/>
      <c r="AK130" s="566"/>
      <c r="AL130" s="566"/>
      <c r="AM130" s="566"/>
      <c r="AN130" s="566">
        <f>SUM(N130,S130,Y130)</f>
        <v>32057.699831894635</v>
      </c>
      <c r="AO130" s="566"/>
      <c r="AP130" s="957"/>
    </row>
    <row r="131" spans="2:42" s="954" customFormat="1" ht="20.25">
      <c r="B131" s="954" t="s">
        <v>345</v>
      </c>
      <c r="N131" s="566">
        <v>16771</v>
      </c>
      <c r="O131" s="566"/>
      <c r="P131" s="566"/>
      <c r="Q131" s="566"/>
      <c r="R131" s="566"/>
      <c r="S131" s="566">
        <v>15900</v>
      </c>
      <c r="T131" s="566"/>
      <c r="U131" s="566"/>
      <c r="V131" s="566"/>
      <c r="W131" s="566"/>
      <c r="X131" s="566"/>
      <c r="Y131" s="566">
        <v>2269</v>
      </c>
      <c r="Z131" s="566"/>
      <c r="AA131" s="566"/>
      <c r="AB131" s="566"/>
      <c r="AC131" s="566"/>
      <c r="AD131" s="955"/>
      <c r="AE131" s="956"/>
      <c r="AF131" s="566"/>
      <c r="AG131" s="566"/>
      <c r="AH131" s="1014"/>
      <c r="AI131" s="566"/>
      <c r="AJ131" s="566"/>
      <c r="AK131" s="566"/>
      <c r="AL131" s="566"/>
      <c r="AM131" s="566"/>
      <c r="AN131" s="566">
        <f>SUM(N131,S131,Y131)</f>
        <v>34940</v>
      </c>
      <c r="AO131" s="566"/>
      <c r="AP131" s="957"/>
    </row>
    <row r="133" spans="53:63" ht="60.75">
      <c r="BA133" s="545" t="s">
        <v>602</v>
      </c>
      <c r="BD133" s="599"/>
      <c r="BE133" s="599"/>
      <c r="BF133" s="959"/>
      <c r="BG133" s="545"/>
      <c r="BH133" s="545"/>
      <c r="BI133" s="600"/>
      <c r="BJ133" s="545"/>
      <c r="BK133" s="603"/>
    </row>
    <row r="134" spans="1:63" ht="28.5" customHeight="1">
      <c r="A134" s="546">
        <v>12</v>
      </c>
      <c r="B134" s="546" t="s">
        <v>332</v>
      </c>
      <c r="J134" s="546">
        <v>253.2</v>
      </c>
      <c r="K134" s="885">
        <f>+J134*-391/14676</f>
        <v>-6.7457890433360586</v>
      </c>
      <c r="BE134" s="604"/>
      <c r="BF134" s="605"/>
      <c r="BG134" s="605"/>
      <c r="BH134" s="608"/>
      <c r="BI134" s="605"/>
      <c r="BJ134" s="605"/>
      <c r="BK134" s="608"/>
    </row>
    <row r="135" spans="1:63" ht="28.5" customHeight="1">
      <c r="A135" s="546">
        <v>13</v>
      </c>
      <c r="B135" s="546" t="s">
        <v>215</v>
      </c>
      <c r="J135" s="546">
        <v>1601.2</v>
      </c>
      <c r="K135" s="885">
        <f aca="true" t="shared" si="46" ref="K135:K148">+J135*-391/14676</f>
        <v>-42.65938947942219</v>
      </c>
      <c r="BA135" s="547" t="e">
        <f>(+#REF!-AY6)/AU6</f>
        <v>#REF!</v>
      </c>
      <c r="BD135" s="609"/>
      <c r="BE135" s="609"/>
      <c r="BF135" s="610"/>
      <c r="BG135" s="610"/>
      <c r="BH135" s="613"/>
      <c r="BI135" s="610"/>
      <c r="BJ135" s="610"/>
      <c r="BK135" s="613"/>
    </row>
    <row r="136" spans="1:63" ht="28.5" customHeight="1">
      <c r="A136" s="546">
        <v>14</v>
      </c>
      <c r="B136" s="546" t="s">
        <v>333</v>
      </c>
      <c r="J136" s="546">
        <v>6920.1</v>
      </c>
      <c r="K136" s="885">
        <f t="shared" si="46"/>
        <v>-184.36625102207685</v>
      </c>
      <c r="BA136" s="547" t="e">
        <f>(+#REF!-AY7)/AU7</f>
        <v>#REF!</v>
      </c>
      <c r="BD136" s="609"/>
      <c r="BE136" s="609"/>
      <c r="BF136" s="610"/>
      <c r="BG136" s="610"/>
      <c r="BH136" s="613"/>
      <c r="BI136" s="610"/>
      <c r="BJ136" s="610"/>
      <c r="BK136" s="613"/>
    </row>
    <row r="137" spans="1:63" ht="28.5" customHeight="1">
      <c r="A137" s="546">
        <v>15</v>
      </c>
      <c r="B137" s="546" t="s">
        <v>334</v>
      </c>
      <c r="J137" s="546">
        <v>608.8</v>
      </c>
      <c r="K137" s="885">
        <f t="shared" si="46"/>
        <v>-16.219732897247205</v>
      </c>
      <c r="BA137" s="547" t="e">
        <f>(+#REF!-AY8)/AU8</f>
        <v>#REF!</v>
      </c>
      <c r="BD137" s="609"/>
      <c r="BE137" s="609"/>
      <c r="BF137" s="610"/>
      <c r="BG137" s="610"/>
      <c r="BH137" s="613"/>
      <c r="BI137" s="610"/>
      <c r="BJ137" s="610"/>
      <c r="BK137" s="613"/>
    </row>
    <row r="138" spans="1:63" ht="28.5" customHeight="1">
      <c r="A138" s="546">
        <v>16</v>
      </c>
      <c r="B138" s="546" t="s">
        <v>216</v>
      </c>
      <c r="J138" s="546">
        <v>171</v>
      </c>
      <c r="K138" s="885">
        <f t="shared" si="46"/>
        <v>-4.555805396565821</v>
      </c>
      <c r="BA138" s="547" t="e">
        <f>(+#REF!-AY9)/AU9</f>
        <v>#REF!</v>
      </c>
      <c r="BD138" s="609"/>
      <c r="BE138" s="609"/>
      <c r="BF138" s="610"/>
      <c r="BG138" s="610"/>
      <c r="BH138" s="613"/>
      <c r="BI138" s="610"/>
      <c r="BJ138" s="610"/>
      <c r="BK138" s="613"/>
    </row>
    <row r="139" spans="1:63" ht="28.5" customHeight="1">
      <c r="A139" s="546">
        <v>17</v>
      </c>
      <c r="B139" s="546" t="s">
        <v>335</v>
      </c>
      <c r="J139" s="546">
        <v>59.2</v>
      </c>
      <c r="K139" s="885">
        <f t="shared" si="46"/>
        <v>-1.5772144998637232</v>
      </c>
      <c r="BA139" s="547" t="e">
        <f>(+#REF!-AY10)/AU10</f>
        <v>#REF!</v>
      </c>
      <c r="BD139" s="609"/>
      <c r="BE139" s="609"/>
      <c r="BF139" s="610"/>
      <c r="BG139" s="610"/>
      <c r="BH139" s="613"/>
      <c r="BI139" s="610"/>
      <c r="BJ139" s="610"/>
      <c r="BK139" s="613"/>
    </row>
    <row r="140" spans="1:63" ht="28.5" customHeight="1">
      <c r="A140" s="546">
        <v>18</v>
      </c>
      <c r="B140" s="546" t="s">
        <v>217</v>
      </c>
      <c r="J140" s="546">
        <v>2678.8</v>
      </c>
      <c r="K140" s="885">
        <f t="shared" si="46"/>
        <v>-71.36895611883347</v>
      </c>
      <c r="BA140" s="547" t="e">
        <f>(+#REF!-AY11)/AU11</f>
        <v>#REF!</v>
      </c>
      <c r="BD140" s="609"/>
      <c r="BE140" s="609"/>
      <c r="BF140" s="610"/>
      <c r="BG140" s="610"/>
      <c r="BH140" s="613"/>
      <c r="BI140" s="610"/>
      <c r="BJ140" s="610"/>
      <c r="BK140" s="613"/>
    </row>
    <row r="141" spans="1:63" ht="28.5" customHeight="1">
      <c r="A141" s="546">
        <v>19</v>
      </c>
      <c r="B141" s="546" t="s">
        <v>336</v>
      </c>
      <c r="J141" s="546">
        <v>208.3</v>
      </c>
      <c r="K141" s="885">
        <f t="shared" si="46"/>
        <v>-5.549557100027256</v>
      </c>
      <c r="BA141" s="547" t="e">
        <f>(+#REF!-AY12)/AU12</f>
        <v>#REF!</v>
      </c>
      <c r="BD141" s="609"/>
      <c r="BE141" s="609"/>
      <c r="BF141" s="610"/>
      <c r="BG141" s="610"/>
      <c r="BH141" s="613"/>
      <c r="BI141" s="610"/>
      <c r="BJ141" s="610"/>
      <c r="BK141" s="613"/>
    </row>
    <row r="142" spans="1:63" ht="28.5" customHeight="1">
      <c r="A142" s="546">
        <v>2</v>
      </c>
      <c r="B142" s="546" t="s">
        <v>337</v>
      </c>
      <c r="J142" s="546">
        <v>0</v>
      </c>
      <c r="K142" s="885">
        <f t="shared" si="46"/>
        <v>0</v>
      </c>
      <c r="BA142" s="547" t="e">
        <f>(+#REF!-AY13)/AU13</f>
        <v>#REF!</v>
      </c>
      <c r="BD142" s="609"/>
      <c r="BE142" s="609"/>
      <c r="BF142" s="616"/>
      <c r="BG142" s="616"/>
      <c r="BH142" s="619"/>
      <c r="BI142" s="616"/>
      <c r="BJ142" s="616"/>
      <c r="BK142" s="619"/>
    </row>
    <row r="143" spans="1:63" ht="28.5" customHeight="1">
      <c r="A143" s="546">
        <v>3</v>
      </c>
      <c r="B143" s="546" t="s">
        <v>338</v>
      </c>
      <c r="J143" s="546">
        <v>142.9</v>
      </c>
      <c r="K143" s="885">
        <f t="shared" si="46"/>
        <v>-3.807161351866994</v>
      </c>
      <c r="BA143" s="547" t="e">
        <f>(+#REF!-AY14)/AU14</f>
        <v>#REF!</v>
      </c>
      <c r="BD143" s="599"/>
      <c r="BE143" s="599"/>
      <c r="BF143" s="621"/>
      <c r="BG143" s="621"/>
      <c r="BH143" s="624"/>
      <c r="BI143" s="621"/>
      <c r="BJ143" s="621"/>
      <c r="BK143" s="624"/>
    </row>
    <row r="144" spans="1:63" ht="28.5" customHeight="1">
      <c r="A144" s="546">
        <v>4</v>
      </c>
      <c r="B144" s="546" t="s">
        <v>339</v>
      </c>
      <c r="J144" s="546">
        <v>0</v>
      </c>
      <c r="K144" s="885">
        <f t="shared" si="46"/>
        <v>0</v>
      </c>
      <c r="BA144" s="547" t="e">
        <f>(+#REF!-AY15)/AU15</f>
        <v>#REF!</v>
      </c>
      <c r="BD144" s="599"/>
      <c r="BE144" s="599"/>
      <c r="BF144" s="621"/>
      <c r="BG144" s="621"/>
      <c r="BH144" s="624"/>
      <c r="BI144" s="621"/>
      <c r="BJ144" s="621"/>
      <c r="BK144" s="624"/>
    </row>
    <row r="145" spans="1:63" ht="28.5" customHeight="1">
      <c r="A145" s="546">
        <v>5</v>
      </c>
      <c r="B145" s="546" t="s">
        <v>340</v>
      </c>
      <c r="J145" s="546">
        <v>0</v>
      </c>
      <c r="K145" s="885">
        <f t="shared" si="46"/>
        <v>0</v>
      </c>
      <c r="BA145" s="547" t="e">
        <f>(+#REF!-AY16)/AU16</f>
        <v>#REF!</v>
      </c>
      <c r="BD145" s="599"/>
      <c r="BE145" s="599"/>
      <c r="BF145" s="621"/>
      <c r="BG145" s="621"/>
      <c r="BH145" s="624"/>
      <c r="BI145" s="621"/>
      <c r="BJ145" s="621"/>
      <c r="BK145" s="624"/>
    </row>
    <row r="146" spans="1:63" ht="28.5" customHeight="1">
      <c r="A146" s="546">
        <v>6</v>
      </c>
      <c r="B146" s="546" t="s">
        <v>341</v>
      </c>
      <c r="J146" s="546">
        <v>0</v>
      </c>
      <c r="K146" s="885">
        <f t="shared" si="46"/>
        <v>0</v>
      </c>
      <c r="BA146" s="547" t="e">
        <f>(+#REF!-AY17)/AU17</f>
        <v>#REF!</v>
      </c>
      <c r="BD146" s="599"/>
      <c r="BE146" s="599"/>
      <c r="BF146" s="621"/>
      <c r="BG146" s="621"/>
      <c r="BH146" s="624"/>
      <c r="BI146" s="621"/>
      <c r="BJ146" s="621"/>
      <c r="BK146" s="624"/>
    </row>
    <row r="147" spans="1:63" ht="28.5" customHeight="1">
      <c r="A147" s="546">
        <v>7</v>
      </c>
      <c r="B147" s="546" t="s">
        <v>342</v>
      </c>
      <c r="J147" s="546">
        <v>34.5</v>
      </c>
      <c r="K147" s="885">
        <f t="shared" si="46"/>
        <v>-0.919153720359771</v>
      </c>
      <c r="BA147" s="547" t="e">
        <f>(+#REF!-AY18)/AU18</f>
        <v>#REF!</v>
      </c>
      <c r="BD147" s="599"/>
      <c r="BE147" s="599"/>
      <c r="BF147" s="621"/>
      <c r="BG147" s="621"/>
      <c r="BH147" s="624"/>
      <c r="BI147" s="621"/>
      <c r="BJ147" s="621"/>
      <c r="BK147" s="624"/>
    </row>
    <row r="148" spans="1:63" ht="28.5" customHeight="1">
      <c r="A148" s="546">
        <v>8</v>
      </c>
      <c r="B148" s="546" t="s">
        <v>343</v>
      </c>
      <c r="J148" s="546">
        <v>1998.3</v>
      </c>
      <c r="K148" s="885">
        <f t="shared" si="46"/>
        <v>-53.238982011447256</v>
      </c>
      <c r="BA148" s="547" t="e">
        <f>(+#REF!-AY19)/AU19</f>
        <v>#REF!</v>
      </c>
      <c r="BD148" s="599"/>
      <c r="BE148" s="599"/>
      <c r="BF148" s="621"/>
      <c r="BG148" s="621"/>
      <c r="BH148" s="624"/>
      <c r="BI148" s="621"/>
      <c r="BJ148" s="621"/>
      <c r="BK148" s="624"/>
    </row>
    <row r="149" spans="11:63" ht="28.5" customHeight="1">
      <c r="K149" s="546">
        <f>SUM(K134:K148)</f>
        <v>-391.00799264104654</v>
      </c>
      <c r="BA149" s="547" t="e">
        <f>(+#REF!-AY20)/AU20</f>
        <v>#REF!</v>
      </c>
      <c r="BD149" s="599"/>
      <c r="BE149" s="599"/>
      <c r="BF149" s="621"/>
      <c r="BG149" s="621"/>
      <c r="BH149" s="624"/>
      <c r="BI149" s="621"/>
      <c r="BJ149" s="621"/>
      <c r="BK149" s="624"/>
    </row>
    <row r="150" spans="53:63" ht="28.5" customHeight="1" thickBot="1">
      <c r="BA150" s="547" t="e">
        <f>(+#REF!-AY21)/AU21</f>
        <v>#REF!</v>
      </c>
      <c r="BD150" s="599"/>
      <c r="BE150" s="599"/>
      <c r="BF150" s="960"/>
      <c r="BG150" s="960"/>
      <c r="BH150" s="961"/>
      <c r="BI150" s="960"/>
      <c r="BJ150" s="960"/>
      <c r="BK150" s="961"/>
    </row>
    <row r="151" spans="53:63" ht="21" thickTop="1">
      <c r="BA151" s="547" t="e">
        <f>(+#REF!-AY22)/AU22</f>
        <v>#REF!</v>
      </c>
      <c r="BD151" s="599"/>
      <c r="BE151" s="599"/>
      <c r="BF151" s="621"/>
      <c r="BG151" s="621"/>
      <c r="BH151" s="624"/>
      <c r="BI151" s="621"/>
      <c r="BJ151" s="621"/>
      <c r="BK151" s="624"/>
    </row>
    <row r="153" ht="21" thickBot="1">
      <c r="AV153" s="546">
        <v>60269</v>
      </c>
    </row>
    <row r="154" spans="10:63" ht="28.5" customHeight="1">
      <c r="J154" s="779" t="s">
        <v>92</v>
      </c>
      <c r="K154" s="560"/>
      <c r="L154" s="560"/>
      <c r="M154" s="780"/>
      <c r="N154" s="780"/>
      <c r="O154" s="779" t="s">
        <v>93</v>
      </c>
      <c r="P154" s="560"/>
      <c r="Q154" s="560"/>
      <c r="R154" s="781"/>
      <c r="S154" s="782"/>
      <c r="T154" s="783"/>
      <c r="U154" s="784" t="s">
        <v>94</v>
      </c>
      <c r="V154" s="784"/>
      <c r="W154" s="784"/>
      <c r="X154" s="785"/>
      <c r="Y154" s="786"/>
      <c r="Z154" s="787"/>
      <c r="AA154" s="925" t="s">
        <v>95</v>
      </c>
      <c r="AB154" s="926"/>
      <c r="AC154" s="926"/>
      <c r="AD154" s="560"/>
      <c r="AE154" s="927"/>
      <c r="AF154" s="560"/>
      <c r="AG154" s="560"/>
      <c r="AH154" s="1011"/>
      <c r="AI154" s="560"/>
      <c r="AJ154" s="560"/>
      <c r="AK154" s="560"/>
      <c r="AL154" s="560"/>
      <c r="AM154" s="560"/>
      <c r="AN154" s="560"/>
      <c r="AO154" s="792"/>
      <c r="AP154" s="793"/>
      <c r="AS154" s="599"/>
      <c r="AT154" s="599"/>
      <c r="AU154" s="962"/>
      <c r="AV154" s="962"/>
      <c r="AW154" s="963"/>
      <c r="AX154" s="962"/>
      <c r="AY154" s="849"/>
      <c r="AZ154" s="963"/>
      <c r="BA154" s="547"/>
      <c r="BD154" s="599"/>
      <c r="BE154" s="599"/>
      <c r="BF154" s="962"/>
      <c r="BG154" s="962"/>
      <c r="BH154" s="963"/>
      <c r="BI154" s="962"/>
      <c r="BJ154" s="962"/>
      <c r="BK154" s="963"/>
    </row>
    <row r="155" spans="10:65" ht="91.5" thickBot="1">
      <c r="J155" s="964" t="s">
        <v>597</v>
      </c>
      <c r="K155" s="808" t="s">
        <v>250</v>
      </c>
      <c r="L155" s="808" t="s">
        <v>251</v>
      </c>
      <c r="M155" s="809" t="s">
        <v>328</v>
      </c>
      <c r="N155" s="810" t="s">
        <v>344</v>
      </c>
      <c r="O155" s="811" t="s">
        <v>461</v>
      </c>
      <c r="P155" s="808" t="s">
        <v>250</v>
      </c>
      <c r="Q155" s="808" t="s">
        <v>251</v>
      </c>
      <c r="R155" s="809" t="s">
        <v>328</v>
      </c>
      <c r="S155" s="810" t="s">
        <v>344</v>
      </c>
      <c r="T155" s="812" t="s">
        <v>330</v>
      </c>
      <c r="U155" s="811" t="s">
        <v>461</v>
      </c>
      <c r="V155" s="808" t="s">
        <v>250</v>
      </c>
      <c r="W155" s="808" t="s">
        <v>251</v>
      </c>
      <c r="X155" s="809" t="s">
        <v>328</v>
      </c>
      <c r="Y155" s="810" t="s">
        <v>344</v>
      </c>
      <c r="Z155" s="813" t="s">
        <v>330</v>
      </c>
      <c r="AA155" s="814" t="s">
        <v>597</v>
      </c>
      <c r="AB155" s="816" t="s">
        <v>250</v>
      </c>
      <c r="AC155" s="816"/>
      <c r="AD155" s="817" t="s">
        <v>251</v>
      </c>
      <c r="AE155" s="818" t="s">
        <v>328</v>
      </c>
      <c r="AF155" s="552"/>
      <c r="AG155" s="552"/>
      <c r="AH155" s="552"/>
      <c r="AI155" s="552"/>
      <c r="AJ155" s="552"/>
      <c r="AK155" s="552"/>
      <c r="AL155" s="552"/>
      <c r="AM155" s="552"/>
      <c r="AN155" s="813" t="s">
        <v>329</v>
      </c>
      <c r="AO155" s="812" t="s">
        <v>330</v>
      </c>
      <c r="AP155" s="812" t="s">
        <v>603</v>
      </c>
      <c r="AQ155" s="552" t="s">
        <v>604</v>
      </c>
      <c r="AR155" s="819" t="s">
        <v>601</v>
      </c>
      <c r="AU155" s="599"/>
      <c r="AV155" s="599"/>
      <c r="AW155" s="621">
        <f>SUM(AU14:AU21)</f>
        <v>27068.31509521742</v>
      </c>
      <c r="AX155" s="621">
        <f>SUM(AV14:AV21)</f>
        <v>990</v>
      </c>
      <c r="AY155" s="624">
        <f>+AX155/AW155</f>
        <v>0.03657412722282514</v>
      </c>
      <c r="AZ155" s="846">
        <f>SUM(AY14:AY21)</f>
        <v>4.059714360534151</v>
      </c>
      <c r="BA155" s="621" t="e">
        <f>SUM(#REF!,AX155)</f>
        <v>#REF!</v>
      </c>
      <c r="BB155" s="624" t="e">
        <f>+BA155/AW155</f>
        <v>#REF!</v>
      </c>
      <c r="BC155" s="547" t="e">
        <f>(+BA155-AZ155)/AW155</f>
        <v>#REF!</v>
      </c>
      <c r="BF155" s="599"/>
      <c r="BG155" s="599"/>
      <c r="BH155" s="621"/>
      <c r="BI155" s="621"/>
      <c r="BJ155" s="624"/>
      <c r="BK155" s="621"/>
      <c r="BL155" s="621"/>
      <c r="BM155" s="624"/>
    </row>
    <row r="156" spans="1:44" ht="20.25">
      <c r="A156" s="965" t="s">
        <v>605</v>
      </c>
      <c r="B156" s="966"/>
      <c r="AP156" s="565"/>
      <c r="AQ156" s="565"/>
      <c r="AR156" s="958"/>
    </row>
    <row r="157" spans="1:50" ht="20.25">
      <c r="A157" s="967" t="s">
        <v>606</v>
      </c>
      <c r="B157" s="968"/>
      <c r="C157" s="969"/>
      <c r="D157" s="969"/>
      <c r="E157" s="969"/>
      <c r="F157" s="969"/>
      <c r="G157" s="969"/>
      <c r="H157" s="969"/>
      <c r="I157" s="969"/>
      <c r="J157" s="970">
        <f>SUM(J158:J160)</f>
        <v>5042.646782039028</v>
      </c>
      <c r="K157" s="970">
        <f>SUM(K158:K160)</f>
        <v>619</v>
      </c>
      <c r="L157" s="970">
        <f>SUM(L158:L160)</f>
        <v>5661.646782039028</v>
      </c>
      <c r="M157" s="567">
        <f>N157/L157</f>
        <v>0.09174098857071468</v>
      </c>
      <c r="N157" s="970">
        <f>SUM(N158:N160)</f>
        <v>519.405072722466</v>
      </c>
      <c r="O157" s="970">
        <f>SUM(O158:O160)</f>
        <v>3918.5</v>
      </c>
      <c r="P157" s="970">
        <f>SUM(P158:P160)</f>
        <v>86.3</v>
      </c>
      <c r="Q157" s="970">
        <f>SUM(Q158:Q160)</f>
        <v>4004.7999999999997</v>
      </c>
      <c r="R157" s="567">
        <f aca="true" t="shared" si="47" ref="R157:R181">S157/Q157</f>
        <v>0.3613268577706752</v>
      </c>
      <c r="S157" s="970">
        <f>SUM(S158:S160)</f>
        <v>1447.0418</v>
      </c>
      <c r="T157" s="970">
        <f>SUM(T158:T160)</f>
        <v>1150</v>
      </c>
      <c r="U157" s="970">
        <f>SUM(U158:U160)</f>
        <v>1136.5</v>
      </c>
      <c r="V157" s="970">
        <f>SUM(V158:V160)</f>
        <v>-11.5</v>
      </c>
      <c r="W157" s="970">
        <f>SUM(W158:W160)</f>
        <v>1125</v>
      </c>
      <c r="X157" s="567">
        <f aca="true" t="shared" si="48" ref="X157:X181">Y157/W157</f>
        <v>0.1269297925834047</v>
      </c>
      <c r="Y157" s="970">
        <f>SUM(Y158:Y160)</f>
        <v>142.7960166563303</v>
      </c>
      <c r="Z157" s="970">
        <f>SUM(Z158:Z160)</f>
        <v>1800</v>
      </c>
      <c r="AA157" s="971">
        <f>SUM(J157:J157,O157,U157)</f>
        <v>10097.646782039028</v>
      </c>
      <c r="AB157" s="971">
        <f>SUM(K157:K157,P157,V157)</f>
        <v>693.8</v>
      </c>
      <c r="AC157" s="971"/>
      <c r="AD157" s="970">
        <f>SUM(AD158:AD160)</f>
        <v>10791.446782039027</v>
      </c>
      <c r="AE157" s="547">
        <f aca="true" t="shared" si="49" ref="AE157:AE181">AN157/AD157</f>
        <v>0.1954550610293848</v>
      </c>
      <c r="AF157" s="567"/>
      <c r="AG157" s="567"/>
      <c r="AI157" s="567"/>
      <c r="AJ157" s="567"/>
      <c r="AK157" s="567"/>
      <c r="AL157" s="567"/>
      <c r="AM157" s="567"/>
      <c r="AN157" s="970">
        <f>SUM(AN158:AN160)</f>
        <v>2109.2428893787965</v>
      </c>
      <c r="AO157" s="970">
        <f>SUM(AO158:AO160)</f>
        <v>2950</v>
      </c>
      <c r="AP157" s="970">
        <f>SUM(AP158:AP160)</f>
        <v>5059.2428893787965</v>
      </c>
      <c r="AQ157" s="567">
        <f>AP157/AD157</f>
        <v>0.46881970430501074</v>
      </c>
      <c r="AR157" s="970">
        <f>SUM(AR158:AR160)</f>
        <v>1138</v>
      </c>
      <c r="AX157" s="546">
        <v>60269</v>
      </c>
    </row>
    <row r="158" spans="1:50" ht="36">
      <c r="A158" s="972"/>
      <c r="B158" s="973" t="s">
        <v>607</v>
      </c>
      <c r="J158" s="974">
        <f>J29+J41+J42+J43</f>
        <v>3168.8453169490276</v>
      </c>
      <c r="K158" s="974">
        <f>K29+K41+K42+K43</f>
        <v>619</v>
      </c>
      <c r="L158" s="975">
        <f>SUM(J158:K158)</f>
        <v>3787.8453169490276</v>
      </c>
      <c r="M158" s="567">
        <f>N158/L158</f>
        <v>0.056427924716082656</v>
      </c>
      <c r="N158" s="974">
        <f>N29+N41+N42+N43</f>
        <v>213.740250380966</v>
      </c>
      <c r="O158" s="974">
        <f>O29+O41+O42+O43</f>
        <v>507</v>
      </c>
      <c r="P158" s="974">
        <f>P29+P41+P42+P43</f>
        <v>98</v>
      </c>
      <c r="Q158" s="975">
        <f>SUM(O158:P158)</f>
        <v>605</v>
      </c>
      <c r="R158" s="567">
        <f t="shared" si="47"/>
        <v>0.35861157024793383</v>
      </c>
      <c r="S158" s="974">
        <f>S29+S41+S42+S43</f>
        <v>216.95999999999998</v>
      </c>
      <c r="T158" s="974">
        <f>T29+T41+T42+T43</f>
        <v>250</v>
      </c>
      <c r="U158" s="974">
        <f>U29+U41+U42+U43</f>
        <v>0</v>
      </c>
      <c r="V158" s="974">
        <f>V29+V41+V42+V43</f>
        <v>0</v>
      </c>
      <c r="W158" s="975">
        <f>SUM(U158:V158)</f>
        <v>0</v>
      </c>
      <c r="X158" s="567"/>
      <c r="Y158" s="974">
        <f>Y29+Y41+Y42+Y43</f>
        <v>0</v>
      </c>
      <c r="Z158" s="974">
        <f>Z29+Z41+Z42+Z43</f>
        <v>0</v>
      </c>
      <c r="AA158" s="971">
        <f aca="true" t="shared" si="50" ref="AA158:AB173">SUM(J158:J158,O158,U158)</f>
        <v>3675.8453169490276</v>
      </c>
      <c r="AB158" s="971">
        <f t="shared" si="50"/>
        <v>717</v>
      </c>
      <c r="AC158" s="971"/>
      <c r="AD158" s="975">
        <f>SUM(AA158:AB158)</f>
        <v>4392.845316949028</v>
      </c>
      <c r="AE158" s="547">
        <f t="shared" si="49"/>
        <v>0.09804584939951884</v>
      </c>
      <c r="AF158" s="567"/>
      <c r="AG158" s="567"/>
      <c r="AI158" s="567"/>
      <c r="AJ158" s="567"/>
      <c r="AK158" s="567"/>
      <c r="AL158" s="567"/>
      <c r="AM158" s="567"/>
      <c r="AN158" s="976">
        <f>SUM(N158:N158,S158,Y158)</f>
        <v>430.70025038096594</v>
      </c>
      <c r="AO158" s="977">
        <f aca="true" t="shared" si="51" ref="AO158:AO180">SUM(Z158,T158)</f>
        <v>250</v>
      </c>
      <c r="AP158" s="977">
        <f>AN158+AO158</f>
        <v>680.7002503809659</v>
      </c>
      <c r="AQ158" s="567">
        <f aca="true" t="shared" si="52" ref="AQ158:AQ181">AP158/AD158</f>
        <v>0.15495657171323624</v>
      </c>
      <c r="AR158" s="974">
        <f>AP29+AP41+AP42+AP43</f>
        <v>394</v>
      </c>
      <c r="AX158" s="546">
        <v>75</v>
      </c>
    </row>
    <row r="159" spans="1:53" ht="36">
      <c r="A159" s="972"/>
      <c r="B159" s="973" t="s">
        <v>608</v>
      </c>
      <c r="J159" s="974">
        <f>J56+J51+J54+J53</f>
        <v>1841.84552909</v>
      </c>
      <c r="K159" s="974">
        <f>K56+K51+K54+K53</f>
        <v>0</v>
      </c>
      <c r="L159" s="975">
        <f>SUM(J159:K159)</f>
        <v>1841.84552909</v>
      </c>
      <c r="M159" s="567">
        <f aca="true" t="shared" si="53" ref="M159:M181">N159/L159</f>
        <v>0.1650882339148877</v>
      </c>
      <c r="N159" s="974">
        <f>N56+N51+N54+N53</f>
        <v>304.0670255415</v>
      </c>
      <c r="O159" s="974">
        <f>O56+O51+O54+O53</f>
        <v>1693.4</v>
      </c>
      <c r="P159" s="974">
        <f>P56+P51+P54+P53</f>
        <v>-11.7</v>
      </c>
      <c r="Q159" s="975">
        <f>SUM(O159:P159)</f>
        <v>1681.7</v>
      </c>
      <c r="R159" s="567">
        <f t="shared" si="47"/>
        <v>0.4026293631444372</v>
      </c>
      <c r="S159" s="974">
        <f>S56+S51+S54+S53</f>
        <v>677.1018</v>
      </c>
      <c r="T159" s="974">
        <f>T56+T51+T54+T53</f>
        <v>600</v>
      </c>
      <c r="U159" s="974">
        <f>U56+U51+U54+U53</f>
        <v>11.5</v>
      </c>
      <c r="V159" s="974">
        <f>V56+V51+V54+V53</f>
        <v>-11.5</v>
      </c>
      <c r="W159" s="975">
        <f>SUM(U159:V159)</f>
        <v>0</v>
      </c>
      <c r="X159" s="567"/>
      <c r="Y159" s="974">
        <f>Y56+Y51+Y54+Y53</f>
        <v>0</v>
      </c>
      <c r="Z159" s="974">
        <f>Z56+Z51+Z54+Z53</f>
        <v>700</v>
      </c>
      <c r="AA159" s="971">
        <f t="shared" si="50"/>
        <v>3546.7455290899998</v>
      </c>
      <c r="AB159" s="971">
        <f t="shared" si="50"/>
        <v>-23.2</v>
      </c>
      <c r="AC159" s="971"/>
      <c r="AD159" s="975">
        <f>SUM(AA159:AB159)</f>
        <v>3523.54552909</v>
      </c>
      <c r="AE159" s="547">
        <f t="shared" si="49"/>
        <v>0.27846066339744424</v>
      </c>
      <c r="AF159" s="567"/>
      <c r="AG159" s="567"/>
      <c r="AI159" s="567"/>
      <c r="AJ159" s="567"/>
      <c r="AK159" s="567"/>
      <c r="AL159" s="567"/>
      <c r="AM159" s="567"/>
      <c r="AN159" s="976">
        <f>SUM(N159:N159,S159,Y159)</f>
        <v>981.1688255415</v>
      </c>
      <c r="AO159" s="977">
        <f t="shared" si="51"/>
        <v>1300</v>
      </c>
      <c r="AP159" s="977">
        <f>AN159+AO159</f>
        <v>2281.1688255415</v>
      </c>
      <c r="AQ159" s="567">
        <f t="shared" si="52"/>
        <v>0.6474072228408642</v>
      </c>
      <c r="AR159" s="974">
        <f>AP56+AP51+AP54+AP53</f>
        <v>744</v>
      </c>
      <c r="AX159" s="978">
        <f>SUM(AX155:AX158,AW155)</f>
        <v>88402.31509521742</v>
      </c>
      <c r="AY159" s="609"/>
      <c r="BA159" s="978" t="e">
        <f>SUM(BA155,AW155,AX157:AX158)</f>
        <v>#REF!</v>
      </c>
    </row>
    <row r="160" spans="1:44" ht="20.25">
      <c r="A160" s="972"/>
      <c r="B160" s="973" t="s">
        <v>609</v>
      </c>
      <c r="J160" s="974">
        <f>SUM(J83:J88)</f>
        <v>31.95593599999995</v>
      </c>
      <c r="K160" s="974">
        <f>SUM(K83:K88)</f>
        <v>0</v>
      </c>
      <c r="L160" s="975">
        <f>SUM(J160:K160)</f>
        <v>31.95593599999995</v>
      </c>
      <c r="M160" s="567">
        <f t="shared" si="53"/>
        <v>0.05</v>
      </c>
      <c r="N160" s="974">
        <f>SUM(N83:N88)</f>
        <v>1.5977967999999976</v>
      </c>
      <c r="O160" s="974">
        <f>SUM(O83:O88)</f>
        <v>1718.1</v>
      </c>
      <c r="P160" s="974">
        <f>SUM(P83:P88)</f>
        <v>0</v>
      </c>
      <c r="Q160" s="975">
        <f>SUM(O160:P160)</f>
        <v>1718.1</v>
      </c>
      <c r="R160" s="567">
        <f t="shared" si="47"/>
        <v>0.32185553809440665</v>
      </c>
      <c r="S160" s="974">
        <f>SUM(S83:S88)</f>
        <v>552.98</v>
      </c>
      <c r="T160" s="974">
        <f>SUM(T83:T88)</f>
        <v>300</v>
      </c>
      <c r="U160" s="974">
        <f>SUM(U83:U88)</f>
        <v>1125</v>
      </c>
      <c r="V160" s="974">
        <f>SUM(V83:V88)</f>
        <v>0</v>
      </c>
      <c r="W160" s="975">
        <f>SUM(U160:V160)</f>
        <v>1125</v>
      </c>
      <c r="X160" s="567">
        <f t="shared" si="48"/>
        <v>0.1269297925834047</v>
      </c>
      <c r="Y160" s="974">
        <f>SUM(Y83:Y88)</f>
        <v>142.7960166563303</v>
      </c>
      <c r="Z160" s="974">
        <f>SUM(Z83:Z88)</f>
        <v>1100</v>
      </c>
      <c r="AA160" s="971">
        <f t="shared" si="50"/>
        <v>2875.0559359999997</v>
      </c>
      <c r="AB160" s="971">
        <f t="shared" si="50"/>
        <v>0</v>
      </c>
      <c r="AC160" s="971"/>
      <c r="AD160" s="975">
        <f>SUM(AA160:AB160)</f>
        <v>2875.0559359999997</v>
      </c>
      <c r="AE160" s="547">
        <f t="shared" si="49"/>
        <v>0.24256008543144056</v>
      </c>
      <c r="AF160" s="567"/>
      <c r="AG160" s="567"/>
      <c r="AI160" s="567"/>
      <c r="AJ160" s="567"/>
      <c r="AK160" s="567"/>
      <c r="AL160" s="567"/>
      <c r="AM160" s="567"/>
      <c r="AN160" s="976">
        <f>SUM(N160:N160,S160,Y160)</f>
        <v>697.3738134563303</v>
      </c>
      <c r="AO160" s="977">
        <f t="shared" si="51"/>
        <v>1400</v>
      </c>
      <c r="AP160" s="977">
        <f>AN160+AO160</f>
        <v>2097.37381345633</v>
      </c>
      <c r="AQ160" s="567">
        <f t="shared" si="52"/>
        <v>0.729507133128811</v>
      </c>
      <c r="AR160" s="974">
        <f>SUM(AP83:AP88)</f>
        <v>0</v>
      </c>
    </row>
    <row r="161" spans="1:44" ht="20.25">
      <c r="A161" s="979" t="s">
        <v>610</v>
      </c>
      <c r="B161" s="968"/>
      <c r="C161" s="969"/>
      <c r="D161" s="969"/>
      <c r="E161" s="969"/>
      <c r="F161" s="969"/>
      <c r="G161" s="969"/>
      <c r="H161" s="969"/>
      <c r="I161" s="969"/>
      <c r="J161" s="970">
        <f>SUM(J162:J171)</f>
        <v>3825.0661521799993</v>
      </c>
      <c r="K161" s="970">
        <f>SUM(K162:K171)</f>
        <v>498</v>
      </c>
      <c r="L161" s="970">
        <f>SUM(L162:L171)</f>
        <v>4323.066152179999</v>
      </c>
      <c r="M161" s="567">
        <f t="shared" si="53"/>
        <v>0.1589503843682772</v>
      </c>
      <c r="N161" s="970">
        <f>SUM(N162:N171)</f>
        <v>687.1530265385</v>
      </c>
      <c r="O161" s="970">
        <f>SUM(O162:O171)</f>
        <v>4143.5</v>
      </c>
      <c r="P161" s="970">
        <f>SUM(P162:P171)</f>
        <v>0</v>
      </c>
      <c r="Q161" s="970">
        <f>SUM(Q162:Q171)</f>
        <v>4143.5</v>
      </c>
      <c r="R161" s="567">
        <f t="shared" si="47"/>
        <v>0.31733655122481</v>
      </c>
      <c r="S161" s="970">
        <f>SUM(S162:S171)</f>
        <v>1314.8840000000002</v>
      </c>
      <c r="T161" s="970">
        <f>SUM(T162:T171)</f>
        <v>1555</v>
      </c>
      <c r="U161" s="970">
        <f>SUM(U162:U171)</f>
        <v>874</v>
      </c>
      <c r="V161" s="970">
        <f>SUM(V162:V171)</f>
        <v>0</v>
      </c>
      <c r="W161" s="970">
        <f>SUM(W162:W171)</f>
        <v>874</v>
      </c>
      <c r="X161" s="567">
        <f t="shared" si="48"/>
        <v>0</v>
      </c>
      <c r="Y161" s="970">
        <f>SUM(Y162:Y171)</f>
        <v>0</v>
      </c>
      <c r="Z161" s="970">
        <f>SUM(Z162:Z171)</f>
        <v>1000.0225</v>
      </c>
      <c r="AA161" s="971">
        <f t="shared" si="50"/>
        <v>8842.56615218</v>
      </c>
      <c r="AB161" s="971">
        <f t="shared" si="50"/>
        <v>498</v>
      </c>
      <c r="AC161" s="971"/>
      <c r="AD161" s="970">
        <f>SUM(AD162:AD171)</f>
        <v>9340.56615218</v>
      </c>
      <c r="AE161" s="547">
        <f t="shared" si="49"/>
        <v>0.2143378670971934</v>
      </c>
      <c r="AF161" s="567"/>
      <c r="AG161" s="567"/>
      <c r="AI161" s="567"/>
      <c r="AJ161" s="567"/>
      <c r="AK161" s="567"/>
      <c r="AL161" s="567"/>
      <c r="AM161" s="567"/>
      <c r="AN161" s="970">
        <f>SUM(AN162:AN171)</f>
        <v>2002.0370265385</v>
      </c>
      <c r="AO161" s="970">
        <f>SUM(AO162:AO171)</f>
        <v>2555.0225</v>
      </c>
      <c r="AP161" s="970">
        <f>SUM(AP162:AP171)</f>
        <v>4557.059526538499</v>
      </c>
      <c r="AQ161" s="567">
        <f t="shared" si="52"/>
        <v>0.4878782990552371</v>
      </c>
      <c r="AR161" s="970">
        <f>SUM(AR162:AR171)</f>
        <v>890</v>
      </c>
    </row>
    <row r="162" spans="1:44" ht="20.25">
      <c r="A162" s="972"/>
      <c r="B162" s="973" t="s">
        <v>611</v>
      </c>
      <c r="J162" s="974">
        <f>J9</f>
        <v>116.73726113000004</v>
      </c>
      <c r="K162" s="974">
        <f>K9</f>
        <v>0</v>
      </c>
      <c r="L162" s="975">
        <f aca="true" t="shared" si="54" ref="L162:L171">SUM(J162:K162)</f>
        <v>116.73726113000004</v>
      </c>
      <c r="M162" s="567">
        <f t="shared" si="53"/>
        <v>0.15</v>
      </c>
      <c r="N162" s="974">
        <f>N9</f>
        <v>17.510589169500005</v>
      </c>
      <c r="O162" s="974">
        <f>O9</f>
        <v>244</v>
      </c>
      <c r="P162" s="974">
        <f>P9</f>
        <v>0</v>
      </c>
      <c r="Q162" s="975">
        <f aca="true" t="shared" si="55" ref="Q162:Q171">SUM(O162:P162)</f>
        <v>244</v>
      </c>
      <c r="R162" s="567">
        <f t="shared" si="47"/>
        <v>0.15</v>
      </c>
      <c r="S162" s="974">
        <f>S9</f>
        <v>36.6</v>
      </c>
      <c r="T162" s="974">
        <f>T9</f>
        <v>0</v>
      </c>
      <c r="U162" s="974">
        <f>U9</f>
        <v>0</v>
      </c>
      <c r="V162" s="974">
        <f>V9</f>
        <v>0</v>
      </c>
      <c r="W162" s="975">
        <f aca="true" t="shared" si="56" ref="W162:W171">SUM(U162:V162)</f>
        <v>0</v>
      </c>
      <c r="X162" s="567"/>
      <c r="Y162" s="974">
        <f>Y9</f>
        <v>0</v>
      </c>
      <c r="Z162" s="974">
        <f>Z9</f>
        <v>0.0225</v>
      </c>
      <c r="AA162" s="971">
        <f t="shared" si="50"/>
        <v>360.73726113000004</v>
      </c>
      <c r="AB162" s="971">
        <f t="shared" si="50"/>
        <v>0</v>
      </c>
      <c r="AC162" s="971"/>
      <c r="AD162" s="975">
        <f aca="true" t="shared" si="57" ref="AD162:AD171">SUM(AA162:AB162)</f>
        <v>360.73726113000004</v>
      </c>
      <c r="AE162" s="547">
        <f t="shared" si="49"/>
        <v>0.15</v>
      </c>
      <c r="AF162" s="567"/>
      <c r="AG162" s="567"/>
      <c r="AI162" s="567"/>
      <c r="AJ162" s="567"/>
      <c r="AK162" s="567"/>
      <c r="AL162" s="567"/>
      <c r="AM162" s="567"/>
      <c r="AN162" s="976">
        <f aca="true" t="shared" si="58" ref="AN162:AN171">SUM(N162:N162,S162,Y162)</f>
        <v>54.1105891695</v>
      </c>
      <c r="AO162" s="977">
        <f t="shared" si="51"/>
        <v>0.0225</v>
      </c>
      <c r="AP162" s="977">
        <f aca="true" t="shared" si="59" ref="AP162:AP171">AN162+AO162</f>
        <v>54.1330891695</v>
      </c>
      <c r="AQ162" s="567">
        <f t="shared" si="52"/>
        <v>0.15006237226487087</v>
      </c>
      <c r="AR162" s="974">
        <f>AP9</f>
        <v>0</v>
      </c>
    </row>
    <row r="163" spans="1:44" ht="36">
      <c r="A163" s="972"/>
      <c r="B163" s="973" t="s">
        <v>612</v>
      </c>
      <c r="J163" s="974">
        <f>SUM(J13:J14,J17:J20)</f>
        <v>398.50403</v>
      </c>
      <c r="K163" s="974">
        <f>SUM(K13:K14,K17:K20)</f>
        <v>0</v>
      </c>
      <c r="L163" s="975">
        <f t="shared" si="54"/>
        <v>398.50403</v>
      </c>
      <c r="M163" s="567">
        <f t="shared" si="53"/>
        <v>0.15260073405029304</v>
      </c>
      <c r="N163" s="974">
        <f>SUM(N13:N14,N17:N20)</f>
        <v>60.8120075</v>
      </c>
      <c r="O163" s="974">
        <f>SUM(O13:O14,O17:O20)</f>
        <v>850</v>
      </c>
      <c r="P163" s="974">
        <f>SUM(P13:P14,P17:P20)</f>
        <v>0</v>
      </c>
      <c r="Q163" s="975">
        <f t="shared" si="55"/>
        <v>850</v>
      </c>
      <c r="R163" s="567">
        <f t="shared" si="47"/>
        <v>0.29554</v>
      </c>
      <c r="S163" s="974">
        <f>SUM(S13:S14,S17:S20)</f>
        <v>251.209</v>
      </c>
      <c r="T163" s="974">
        <f>SUM(T13:T14,T17:T20)</f>
        <v>50</v>
      </c>
      <c r="U163" s="974">
        <f>SUM(U13:U14,U17:U20)</f>
        <v>0</v>
      </c>
      <c r="V163" s="974">
        <f>SUM(V13:V14,V17:V20)</f>
        <v>0</v>
      </c>
      <c r="W163" s="975">
        <f t="shared" si="56"/>
        <v>0</v>
      </c>
      <c r="X163" s="567"/>
      <c r="Y163" s="974">
        <f>SUM(Y13:Y14,Y17:Y20)</f>
        <v>0</v>
      </c>
      <c r="Z163" s="974">
        <f>SUM(Z13:Z14,Z17:Z20)</f>
        <v>300</v>
      </c>
      <c r="AA163" s="971">
        <f t="shared" si="50"/>
        <v>1248.50403</v>
      </c>
      <c r="AB163" s="971">
        <f t="shared" si="50"/>
        <v>0</v>
      </c>
      <c r="AC163" s="971"/>
      <c r="AD163" s="975">
        <f t="shared" si="57"/>
        <v>1248.50403</v>
      </c>
      <c r="AE163" s="547">
        <f t="shared" si="49"/>
        <v>0.2499158993503609</v>
      </c>
      <c r="AF163" s="567"/>
      <c r="AG163" s="567"/>
      <c r="AI163" s="567"/>
      <c r="AJ163" s="567"/>
      <c r="AK163" s="567"/>
      <c r="AL163" s="567"/>
      <c r="AM163" s="567"/>
      <c r="AN163" s="976">
        <f t="shared" si="58"/>
        <v>312.0210075</v>
      </c>
      <c r="AO163" s="977">
        <f t="shared" si="51"/>
        <v>350</v>
      </c>
      <c r="AP163" s="977">
        <f t="shared" si="59"/>
        <v>662.0210075</v>
      </c>
      <c r="AQ163" s="567">
        <f t="shared" si="52"/>
        <v>0.5302513981472691</v>
      </c>
      <c r="AR163" s="974">
        <f>SUM(AP13:AP14,AP17:AP20)</f>
        <v>200</v>
      </c>
    </row>
    <row r="164" spans="1:44" ht="36">
      <c r="A164" s="972"/>
      <c r="B164" s="973" t="s">
        <v>613</v>
      </c>
      <c r="J164" s="974">
        <f>J37+J39+J40</f>
        <v>1067.02163</v>
      </c>
      <c r="K164" s="974">
        <f>K37+K39+K40</f>
        <v>347</v>
      </c>
      <c r="L164" s="975">
        <f t="shared" si="54"/>
        <v>1414.02163</v>
      </c>
      <c r="M164" s="567">
        <f t="shared" si="53"/>
        <v>0.20804044419037634</v>
      </c>
      <c r="N164" s="974">
        <f>N37+N39+N40</f>
        <v>294.17368799999997</v>
      </c>
      <c r="O164" s="974">
        <f>O37+O39+O40</f>
        <v>0</v>
      </c>
      <c r="P164" s="974">
        <f>P37+P39+P40</f>
        <v>0</v>
      </c>
      <c r="Q164" s="975">
        <f t="shared" si="55"/>
        <v>0</v>
      </c>
      <c r="R164" s="567"/>
      <c r="S164" s="974">
        <f>S37+S39+S40</f>
        <v>0</v>
      </c>
      <c r="T164" s="974">
        <f>T37+T39+T40</f>
        <v>0</v>
      </c>
      <c r="U164" s="974">
        <f>U37+U39+U40</f>
        <v>0</v>
      </c>
      <c r="V164" s="974">
        <f>V37+V39+V40</f>
        <v>0</v>
      </c>
      <c r="W164" s="975">
        <f t="shared" si="56"/>
        <v>0</v>
      </c>
      <c r="X164" s="567"/>
      <c r="Y164" s="974">
        <f>Y37+Y39+Y40</f>
        <v>0</v>
      </c>
      <c r="Z164" s="974">
        <f>Z37+Z39+Z40</f>
        <v>0</v>
      </c>
      <c r="AA164" s="971">
        <f t="shared" si="50"/>
        <v>1067.02163</v>
      </c>
      <c r="AB164" s="971">
        <f t="shared" si="50"/>
        <v>347</v>
      </c>
      <c r="AC164" s="971"/>
      <c r="AD164" s="975">
        <f t="shared" si="57"/>
        <v>1414.02163</v>
      </c>
      <c r="AE164" s="547">
        <f t="shared" si="49"/>
        <v>0.20804044419037634</v>
      </c>
      <c r="AF164" s="567"/>
      <c r="AG164" s="567"/>
      <c r="AI164" s="567"/>
      <c r="AJ164" s="567"/>
      <c r="AK164" s="567"/>
      <c r="AL164" s="567"/>
      <c r="AM164" s="567"/>
      <c r="AN164" s="976">
        <f t="shared" si="58"/>
        <v>294.17368799999997</v>
      </c>
      <c r="AO164" s="977">
        <f t="shared" si="51"/>
        <v>0</v>
      </c>
      <c r="AP164" s="977">
        <f t="shared" si="59"/>
        <v>294.17368799999997</v>
      </c>
      <c r="AQ164" s="567">
        <f t="shared" si="52"/>
        <v>0.20804044419037634</v>
      </c>
      <c r="AR164" s="974">
        <f>AP37+AP39+AP40</f>
        <v>0</v>
      </c>
    </row>
    <row r="165" spans="1:44" ht="20.25">
      <c r="A165" s="972"/>
      <c r="B165" s="973" t="s">
        <v>614</v>
      </c>
      <c r="J165" s="974">
        <f>J52+J55</f>
        <v>476.3532568000001</v>
      </c>
      <c r="K165" s="974">
        <f>K52+K55</f>
        <v>0</v>
      </c>
      <c r="L165" s="975">
        <f t="shared" si="54"/>
        <v>476.3532568000001</v>
      </c>
      <c r="M165" s="567">
        <f t="shared" si="53"/>
        <v>0.19999999999999998</v>
      </c>
      <c r="N165" s="974">
        <f>N52+N55</f>
        <v>95.27065136000002</v>
      </c>
      <c r="O165" s="974">
        <f>O52+O55</f>
        <v>0</v>
      </c>
      <c r="P165" s="974">
        <f>P52+P55</f>
        <v>0</v>
      </c>
      <c r="Q165" s="975">
        <f t="shared" si="55"/>
        <v>0</v>
      </c>
      <c r="R165" s="567"/>
      <c r="S165" s="974">
        <f>S52+S55</f>
        <v>0</v>
      </c>
      <c r="T165" s="974">
        <f>T52+T55</f>
        <v>0</v>
      </c>
      <c r="U165" s="974">
        <f>U52+U55</f>
        <v>0</v>
      </c>
      <c r="V165" s="974">
        <f>V52+V55</f>
        <v>0</v>
      </c>
      <c r="W165" s="975">
        <f t="shared" si="56"/>
        <v>0</v>
      </c>
      <c r="X165" s="567"/>
      <c r="Y165" s="974">
        <f>Y52+Y55</f>
        <v>0</v>
      </c>
      <c r="Z165" s="974">
        <f>Z52+Z55</f>
        <v>0</v>
      </c>
      <c r="AA165" s="971">
        <f t="shared" si="50"/>
        <v>476.3532568000001</v>
      </c>
      <c r="AB165" s="971">
        <f t="shared" si="50"/>
        <v>0</v>
      </c>
      <c r="AC165" s="971"/>
      <c r="AD165" s="975">
        <f t="shared" si="57"/>
        <v>476.3532568000001</v>
      </c>
      <c r="AE165" s="547">
        <f t="shared" si="49"/>
        <v>0.19999999999999998</v>
      </c>
      <c r="AF165" s="567"/>
      <c r="AG165" s="567"/>
      <c r="AI165" s="567"/>
      <c r="AJ165" s="567"/>
      <c r="AK165" s="567"/>
      <c r="AL165" s="567"/>
      <c r="AM165" s="567"/>
      <c r="AN165" s="976">
        <f t="shared" si="58"/>
        <v>95.27065136000002</v>
      </c>
      <c r="AO165" s="977">
        <f t="shared" si="51"/>
        <v>0</v>
      </c>
      <c r="AP165" s="977">
        <f t="shared" si="59"/>
        <v>95.27065136000002</v>
      </c>
      <c r="AQ165" s="567">
        <f t="shared" si="52"/>
        <v>0.19999999999999998</v>
      </c>
      <c r="AR165" s="974">
        <f>AP52+AP55</f>
        <v>0</v>
      </c>
    </row>
    <row r="166" spans="1:44" ht="20.25">
      <c r="A166" s="972"/>
      <c r="B166" s="973" t="s">
        <v>615</v>
      </c>
      <c r="J166" s="974">
        <f>SUM(J44:J45)</f>
        <v>567.6223</v>
      </c>
      <c r="K166" s="974">
        <f>SUM(K44:K45)</f>
        <v>0</v>
      </c>
      <c r="L166" s="975">
        <f t="shared" si="54"/>
        <v>567.6223</v>
      </c>
      <c r="M166" s="567">
        <f t="shared" si="53"/>
        <v>0.07461644829669306</v>
      </c>
      <c r="N166" s="974">
        <f>SUM(N44:N45)</f>
        <v>42.35396</v>
      </c>
      <c r="O166" s="974">
        <f>SUM(O44:O45)</f>
        <v>667</v>
      </c>
      <c r="P166" s="974">
        <f>SUM(P44:P45)</f>
        <v>0</v>
      </c>
      <c r="Q166" s="975">
        <f t="shared" si="55"/>
        <v>667</v>
      </c>
      <c r="R166" s="567">
        <f t="shared" si="47"/>
        <v>0.3</v>
      </c>
      <c r="S166" s="974">
        <f>SUM(S44:S45)</f>
        <v>200.1</v>
      </c>
      <c r="T166" s="974">
        <f>SUM(T44:T45)</f>
        <v>540</v>
      </c>
      <c r="U166" s="974">
        <f>SUM(U44:U45)</f>
        <v>0</v>
      </c>
      <c r="V166" s="974">
        <f>SUM(V44:V45)</f>
        <v>0</v>
      </c>
      <c r="W166" s="975">
        <f t="shared" si="56"/>
        <v>0</v>
      </c>
      <c r="X166" s="567"/>
      <c r="Y166" s="974">
        <f>SUM(Y44:Y45)</f>
        <v>0</v>
      </c>
      <c r="Z166" s="974">
        <f>SUM(Z44:Z45)</f>
        <v>0</v>
      </c>
      <c r="AA166" s="971">
        <f t="shared" si="50"/>
        <v>1234.6223</v>
      </c>
      <c r="AB166" s="971">
        <f t="shared" si="50"/>
        <v>0</v>
      </c>
      <c r="AC166" s="971"/>
      <c r="AD166" s="975">
        <f t="shared" si="57"/>
        <v>1234.6223</v>
      </c>
      <c r="AE166" s="547">
        <f t="shared" si="49"/>
        <v>0.19637905454971938</v>
      </c>
      <c r="AF166" s="567"/>
      <c r="AG166" s="567"/>
      <c r="AI166" s="567"/>
      <c r="AJ166" s="567"/>
      <c r="AK166" s="567"/>
      <c r="AL166" s="567"/>
      <c r="AM166" s="567"/>
      <c r="AN166" s="976">
        <f t="shared" si="58"/>
        <v>242.45396</v>
      </c>
      <c r="AO166" s="977">
        <f t="shared" si="51"/>
        <v>540</v>
      </c>
      <c r="AP166" s="977">
        <f t="shared" si="59"/>
        <v>782.45396</v>
      </c>
      <c r="AQ166" s="567">
        <f t="shared" si="52"/>
        <v>0.6337597822427151</v>
      </c>
      <c r="AR166" s="974">
        <f>SUM(AP44:AP45)</f>
        <v>0</v>
      </c>
    </row>
    <row r="167" spans="1:44" ht="20.25">
      <c r="A167" s="972"/>
      <c r="B167" s="973" t="s">
        <v>616</v>
      </c>
      <c r="J167" s="974">
        <f>J46</f>
        <v>170.74</v>
      </c>
      <c r="K167" s="974">
        <f>K46</f>
        <v>0</v>
      </c>
      <c r="L167" s="975">
        <f t="shared" si="54"/>
        <v>170.74</v>
      </c>
      <c r="M167" s="567">
        <f t="shared" si="53"/>
        <v>0.1</v>
      </c>
      <c r="N167" s="974">
        <f>N46</f>
        <v>17.074</v>
      </c>
      <c r="O167" s="974">
        <f>O46</f>
        <v>956</v>
      </c>
      <c r="P167" s="974">
        <f>P46</f>
        <v>0</v>
      </c>
      <c r="Q167" s="975">
        <f t="shared" si="55"/>
        <v>956</v>
      </c>
      <c r="R167" s="567">
        <f t="shared" si="47"/>
        <v>0.2</v>
      </c>
      <c r="S167" s="974">
        <f>S46</f>
        <v>191.20000000000002</v>
      </c>
      <c r="T167" s="974">
        <f>T46</f>
        <v>50</v>
      </c>
      <c r="U167" s="974">
        <f>U46</f>
        <v>17</v>
      </c>
      <c r="V167" s="974">
        <f>V46</f>
        <v>0</v>
      </c>
      <c r="W167" s="975">
        <f t="shared" si="56"/>
        <v>17</v>
      </c>
      <c r="X167" s="567">
        <f t="shared" si="48"/>
        <v>0</v>
      </c>
      <c r="Y167" s="974">
        <f>Y46</f>
        <v>0</v>
      </c>
      <c r="Z167" s="974">
        <f>Z46</f>
        <v>0</v>
      </c>
      <c r="AA167" s="971">
        <f t="shared" si="50"/>
        <v>1143.74</v>
      </c>
      <c r="AB167" s="971">
        <f t="shared" si="50"/>
        <v>0</v>
      </c>
      <c r="AC167" s="971"/>
      <c r="AD167" s="975">
        <f t="shared" si="57"/>
        <v>1143.74</v>
      </c>
      <c r="AE167" s="547">
        <f t="shared" si="49"/>
        <v>0.18209907846188822</v>
      </c>
      <c r="AF167" s="567"/>
      <c r="AG167" s="567"/>
      <c r="AI167" s="567"/>
      <c r="AJ167" s="567"/>
      <c r="AK167" s="567"/>
      <c r="AL167" s="567"/>
      <c r="AM167" s="567"/>
      <c r="AN167" s="976">
        <f t="shared" si="58"/>
        <v>208.27400000000003</v>
      </c>
      <c r="AO167" s="977">
        <f t="shared" si="51"/>
        <v>50</v>
      </c>
      <c r="AP167" s="977">
        <f t="shared" si="59"/>
        <v>258.274</v>
      </c>
      <c r="AQ167" s="567">
        <f t="shared" si="52"/>
        <v>0.2258153076748212</v>
      </c>
      <c r="AR167" s="974">
        <f>AP46</f>
        <v>0</v>
      </c>
    </row>
    <row r="168" spans="1:44" ht="20.25">
      <c r="A168" s="972"/>
      <c r="B168" s="973" t="s">
        <v>617</v>
      </c>
      <c r="J168" s="974">
        <f>SUM(J47:J49)</f>
        <v>58.96627200000003</v>
      </c>
      <c r="K168" s="974">
        <f>SUM(K47:K49)</f>
        <v>0</v>
      </c>
      <c r="L168" s="975">
        <f t="shared" si="54"/>
        <v>58.96627200000003</v>
      </c>
      <c r="M168" s="567">
        <f t="shared" si="53"/>
        <v>0</v>
      </c>
      <c r="N168" s="974">
        <f>SUM(N47:N49)</f>
        <v>0</v>
      </c>
      <c r="O168" s="974">
        <f>SUM(O47:O49)</f>
        <v>674</v>
      </c>
      <c r="P168" s="974">
        <f>SUM(P47:P49)</f>
        <v>0</v>
      </c>
      <c r="Q168" s="975">
        <f t="shared" si="55"/>
        <v>674</v>
      </c>
      <c r="R168" s="567">
        <f t="shared" si="47"/>
        <v>0.25</v>
      </c>
      <c r="S168" s="974">
        <f>SUM(S47:S49)</f>
        <v>168.5</v>
      </c>
      <c r="T168" s="974">
        <f>SUM(T47:T49)</f>
        <v>100</v>
      </c>
      <c r="U168" s="974">
        <f>SUM(U47:U49)</f>
        <v>55</v>
      </c>
      <c r="V168" s="974">
        <f>SUM(V47:V49)</f>
        <v>0</v>
      </c>
      <c r="W168" s="975">
        <f t="shared" si="56"/>
        <v>55</v>
      </c>
      <c r="X168" s="567">
        <f t="shared" si="48"/>
        <v>0</v>
      </c>
      <c r="Y168" s="974">
        <f>SUM(Y47:Y49)</f>
        <v>0</v>
      </c>
      <c r="Z168" s="974">
        <f>SUM(Z47:Z49)</f>
        <v>50</v>
      </c>
      <c r="AA168" s="971">
        <f t="shared" si="50"/>
        <v>787.966272</v>
      </c>
      <c r="AB168" s="971">
        <f t="shared" si="50"/>
        <v>0</v>
      </c>
      <c r="AC168" s="971"/>
      <c r="AD168" s="975">
        <f t="shared" si="57"/>
        <v>787.966272</v>
      </c>
      <c r="AE168" s="547">
        <f t="shared" si="49"/>
        <v>0.21384164016604</v>
      </c>
      <c r="AF168" s="567"/>
      <c r="AG168" s="567"/>
      <c r="AI168" s="567"/>
      <c r="AJ168" s="567"/>
      <c r="AK168" s="567"/>
      <c r="AL168" s="567"/>
      <c r="AM168" s="567"/>
      <c r="AN168" s="976">
        <f t="shared" si="58"/>
        <v>168.5</v>
      </c>
      <c r="AO168" s="977">
        <f t="shared" si="51"/>
        <v>150</v>
      </c>
      <c r="AP168" s="977">
        <f t="shared" si="59"/>
        <v>318.5</v>
      </c>
      <c r="AQ168" s="567">
        <f t="shared" si="52"/>
        <v>0.4042051180586572</v>
      </c>
      <c r="AR168" s="974">
        <f>SUM(AP47:AP49)</f>
        <v>0</v>
      </c>
    </row>
    <row r="169" spans="1:44" ht="20.25">
      <c r="A169" s="972"/>
      <c r="B169" s="973" t="s">
        <v>618</v>
      </c>
      <c r="J169" s="974">
        <f>J57</f>
        <v>172.2641231999997</v>
      </c>
      <c r="K169" s="974">
        <f>K57</f>
        <v>0</v>
      </c>
      <c r="L169" s="975">
        <f t="shared" si="54"/>
        <v>172.2641231999997</v>
      </c>
      <c r="M169" s="567">
        <f t="shared" si="53"/>
        <v>0.05</v>
      </c>
      <c r="N169" s="974">
        <f>N57</f>
        <v>8.613206159999985</v>
      </c>
      <c r="O169" s="974">
        <f>O57</f>
        <v>251.5</v>
      </c>
      <c r="P169" s="974">
        <f>P57</f>
        <v>0</v>
      </c>
      <c r="Q169" s="975">
        <f t="shared" si="55"/>
        <v>251.5</v>
      </c>
      <c r="R169" s="567">
        <f t="shared" si="47"/>
        <v>0.05</v>
      </c>
      <c r="S169" s="974">
        <f>S57</f>
        <v>12.575000000000001</v>
      </c>
      <c r="T169" s="974">
        <f>T57</f>
        <v>0</v>
      </c>
      <c r="U169" s="974">
        <f>U57</f>
        <v>153</v>
      </c>
      <c r="V169" s="974">
        <f>V57</f>
        <v>0</v>
      </c>
      <c r="W169" s="975">
        <f t="shared" si="56"/>
        <v>153</v>
      </c>
      <c r="X169" s="567">
        <f t="shared" si="48"/>
        <v>0</v>
      </c>
      <c r="Y169" s="974">
        <f>Y57</f>
        <v>0</v>
      </c>
      <c r="Z169" s="974">
        <f>Z57</f>
        <v>200</v>
      </c>
      <c r="AA169" s="971">
        <f t="shared" si="50"/>
        <v>576.7641231999996</v>
      </c>
      <c r="AB169" s="971">
        <f t="shared" si="50"/>
        <v>0</v>
      </c>
      <c r="AC169" s="971"/>
      <c r="AD169" s="975">
        <f t="shared" si="57"/>
        <v>576.7641231999996</v>
      </c>
      <c r="AE169" s="547">
        <f t="shared" si="49"/>
        <v>0.0367363456007695</v>
      </c>
      <c r="AF169" s="567"/>
      <c r="AG169" s="567"/>
      <c r="AI169" s="567"/>
      <c r="AJ169" s="567"/>
      <c r="AK169" s="567"/>
      <c r="AL169" s="567"/>
      <c r="AM169" s="567"/>
      <c r="AN169" s="976">
        <f t="shared" si="58"/>
        <v>21.188206159999986</v>
      </c>
      <c r="AO169" s="977">
        <f t="shared" si="51"/>
        <v>200</v>
      </c>
      <c r="AP169" s="977">
        <f t="shared" si="59"/>
        <v>221.18820616</v>
      </c>
      <c r="AQ169" s="567">
        <f t="shared" si="52"/>
        <v>0.3834985521165997</v>
      </c>
      <c r="AR169" s="974">
        <f>AP57</f>
        <v>0</v>
      </c>
    </row>
    <row r="170" spans="1:44" ht="20.25">
      <c r="A170" s="972"/>
      <c r="B170" s="973" t="s">
        <v>619</v>
      </c>
      <c r="J170" s="974">
        <f>SUM(J91:J96)</f>
        <v>796.85727905</v>
      </c>
      <c r="K170" s="974">
        <f>SUM(K91:K96)</f>
        <v>151</v>
      </c>
      <c r="L170" s="975">
        <f t="shared" si="54"/>
        <v>947.85727905</v>
      </c>
      <c r="M170" s="567">
        <f t="shared" si="53"/>
        <v>0.15967058300241893</v>
      </c>
      <c r="N170" s="974">
        <f>SUM(N91:N96)</f>
        <v>151.344924349</v>
      </c>
      <c r="O170" s="974">
        <f>SUM(O91:O96)</f>
        <v>277</v>
      </c>
      <c r="P170" s="974">
        <f>SUM(P91:P96)</f>
        <v>0</v>
      </c>
      <c r="Q170" s="975">
        <f t="shared" si="55"/>
        <v>277</v>
      </c>
      <c r="R170" s="567">
        <f t="shared" si="47"/>
        <v>1.3989169675090252</v>
      </c>
      <c r="S170" s="974">
        <f>SUM(S91:S96)</f>
        <v>387.5</v>
      </c>
      <c r="T170" s="974">
        <f>SUM(T91:T96)</f>
        <v>815</v>
      </c>
      <c r="U170" s="974">
        <f>SUM(U91:U96)</f>
        <v>61</v>
      </c>
      <c r="V170" s="974">
        <f>SUM(V91:V96)</f>
        <v>0</v>
      </c>
      <c r="W170" s="975">
        <f t="shared" si="56"/>
        <v>61</v>
      </c>
      <c r="X170" s="567">
        <f t="shared" si="48"/>
        <v>0</v>
      </c>
      <c r="Y170" s="974">
        <f>SUM(Y91:Y96)</f>
        <v>0</v>
      </c>
      <c r="Z170" s="974">
        <f>SUM(Z91:Z96)</f>
        <v>200</v>
      </c>
      <c r="AA170" s="971">
        <f t="shared" si="50"/>
        <v>1134.85727905</v>
      </c>
      <c r="AB170" s="971">
        <f t="shared" si="50"/>
        <v>151</v>
      </c>
      <c r="AC170" s="971"/>
      <c r="AD170" s="975">
        <f t="shared" si="57"/>
        <v>1285.85727905</v>
      </c>
      <c r="AE170" s="547">
        <f t="shared" si="49"/>
        <v>0.4190550017705715</v>
      </c>
      <c r="AF170" s="567"/>
      <c r="AG170" s="567"/>
      <c r="AI170" s="567"/>
      <c r="AJ170" s="567"/>
      <c r="AK170" s="567"/>
      <c r="AL170" s="567"/>
      <c r="AM170" s="567"/>
      <c r="AN170" s="976">
        <f t="shared" si="58"/>
        <v>538.8449243489999</v>
      </c>
      <c r="AO170" s="977">
        <f>SUM(Z170,T170)</f>
        <v>1015</v>
      </c>
      <c r="AP170" s="977">
        <f t="shared" si="59"/>
        <v>1553.844924349</v>
      </c>
      <c r="AQ170" s="567">
        <f t="shared" si="52"/>
        <v>1.2084116563052714</v>
      </c>
      <c r="AR170" s="974">
        <f>SUM(AP91:AP96)</f>
        <v>690</v>
      </c>
    </row>
    <row r="171" spans="1:44" ht="20.25">
      <c r="A171" s="972"/>
      <c r="B171" s="973" t="s">
        <v>620</v>
      </c>
      <c r="J171" s="974">
        <f>J97</f>
        <v>0</v>
      </c>
      <c r="K171" s="974">
        <f>K97</f>
        <v>0</v>
      </c>
      <c r="L171" s="975">
        <f t="shared" si="54"/>
        <v>0</v>
      </c>
      <c r="M171" s="567"/>
      <c r="N171" s="974">
        <f>N97</f>
        <v>0</v>
      </c>
      <c r="O171" s="974">
        <f>O97</f>
        <v>224</v>
      </c>
      <c r="P171" s="974">
        <f>P97</f>
        <v>0</v>
      </c>
      <c r="Q171" s="975">
        <f t="shared" si="55"/>
        <v>224</v>
      </c>
      <c r="R171" s="567">
        <f t="shared" si="47"/>
        <v>0.3</v>
      </c>
      <c r="S171" s="974">
        <f>S97</f>
        <v>67.2</v>
      </c>
      <c r="T171" s="974">
        <f>T97</f>
        <v>0</v>
      </c>
      <c r="U171" s="974">
        <f>U97</f>
        <v>588</v>
      </c>
      <c r="V171" s="974">
        <f>V97</f>
        <v>0</v>
      </c>
      <c r="W171" s="975">
        <f t="shared" si="56"/>
        <v>588</v>
      </c>
      <c r="X171" s="567">
        <f t="shared" si="48"/>
        <v>0</v>
      </c>
      <c r="Y171" s="974">
        <f>Y97</f>
        <v>0</v>
      </c>
      <c r="Z171" s="974">
        <f>Z97</f>
        <v>250</v>
      </c>
      <c r="AA171" s="971">
        <f t="shared" si="50"/>
        <v>812</v>
      </c>
      <c r="AB171" s="971">
        <f t="shared" si="50"/>
        <v>0</v>
      </c>
      <c r="AC171" s="971"/>
      <c r="AD171" s="975">
        <f t="shared" si="57"/>
        <v>812</v>
      </c>
      <c r="AE171" s="547">
        <f t="shared" si="49"/>
        <v>0.08275862068965517</v>
      </c>
      <c r="AF171" s="567"/>
      <c r="AG171" s="567"/>
      <c r="AI171" s="567"/>
      <c r="AJ171" s="567"/>
      <c r="AK171" s="567"/>
      <c r="AL171" s="567"/>
      <c r="AM171" s="567"/>
      <c r="AN171" s="976">
        <f t="shared" si="58"/>
        <v>67.2</v>
      </c>
      <c r="AO171" s="977">
        <f t="shared" si="51"/>
        <v>250</v>
      </c>
      <c r="AP171" s="977">
        <f t="shared" si="59"/>
        <v>317.2</v>
      </c>
      <c r="AQ171" s="567">
        <f t="shared" si="52"/>
        <v>0.39064039408866996</v>
      </c>
      <c r="AR171" s="974">
        <f>AP97</f>
        <v>0</v>
      </c>
    </row>
    <row r="172" spans="1:44" ht="20.25">
      <c r="A172" s="979" t="s">
        <v>621</v>
      </c>
      <c r="B172" s="968"/>
      <c r="C172" s="969"/>
      <c r="D172" s="969"/>
      <c r="E172" s="969"/>
      <c r="F172" s="969"/>
      <c r="G172" s="969"/>
      <c r="H172" s="969"/>
      <c r="I172" s="969"/>
      <c r="J172" s="970">
        <f>SUM(J173:J180)</f>
        <v>3053.102160998389</v>
      </c>
      <c r="K172" s="970">
        <f>SUM(K173:K180)</f>
        <v>-690</v>
      </c>
      <c r="L172" s="970">
        <f>SUM(L173:L180)</f>
        <v>2363.102160998389</v>
      </c>
      <c r="M172" s="567">
        <f t="shared" si="53"/>
        <v>0.07835667192724712</v>
      </c>
      <c r="N172" s="970">
        <f>SUM(N173:N180)</f>
        <v>185.16482075991945</v>
      </c>
      <c r="O172" s="970">
        <f>SUM(O173:O180)</f>
        <v>4794.6</v>
      </c>
      <c r="P172" s="970">
        <f>SUM(P173:P180)</f>
        <v>-502</v>
      </c>
      <c r="Q172" s="970">
        <f>SUM(Q173:Q180)</f>
        <v>4292.6</v>
      </c>
      <c r="R172" s="567">
        <f t="shared" si="47"/>
        <v>0.16142664119647765</v>
      </c>
      <c r="S172" s="970">
        <f>SUM(S173:S180)</f>
        <v>692.94</v>
      </c>
      <c r="T172" s="970">
        <f>SUM(T173:T180)</f>
        <v>0</v>
      </c>
      <c r="U172" s="970">
        <f>SUM(U173:U180)</f>
        <v>280.6</v>
      </c>
      <c r="V172" s="970">
        <f>SUM(V173:V180)</f>
        <v>0</v>
      </c>
      <c r="W172" s="970">
        <f>SUM(W173:W180)</f>
        <v>280.6</v>
      </c>
      <c r="X172" s="567">
        <f t="shared" si="48"/>
        <v>0</v>
      </c>
      <c r="Y172" s="970">
        <f>SUM(Y173:Y180)</f>
        <v>0</v>
      </c>
      <c r="Z172" s="970">
        <f>SUM(Z173:Z180)</f>
        <v>1100</v>
      </c>
      <c r="AA172" s="971">
        <f t="shared" si="50"/>
        <v>8128.30216099839</v>
      </c>
      <c r="AB172" s="971">
        <f t="shared" si="50"/>
        <v>-1192</v>
      </c>
      <c r="AC172" s="971"/>
      <c r="AD172" s="970">
        <f>SUM(AD173:AD180)</f>
        <v>6936.30216099839</v>
      </c>
      <c r="AE172" s="547">
        <f t="shared" si="49"/>
        <v>0.12659552602788107</v>
      </c>
      <c r="AF172" s="567"/>
      <c r="AG172" s="567"/>
      <c r="AI172" s="567"/>
      <c r="AJ172" s="567"/>
      <c r="AK172" s="567"/>
      <c r="AL172" s="567"/>
      <c r="AM172" s="567"/>
      <c r="AN172" s="970">
        <f>SUM(AN173:AN180)</f>
        <v>878.1048207599194</v>
      </c>
      <c r="AO172" s="970">
        <f>SUM(AO173:AO180)</f>
        <v>1100</v>
      </c>
      <c r="AP172" s="970">
        <f>SUM(AP173:AP180)</f>
        <v>1978.1048207599194</v>
      </c>
      <c r="AQ172" s="567">
        <f t="shared" si="52"/>
        <v>0.2851814662692257</v>
      </c>
      <c r="AR172" s="970">
        <f>SUM(AR173:AR180)</f>
        <v>314</v>
      </c>
    </row>
    <row r="173" spans="1:44" ht="20.25">
      <c r="A173" s="972"/>
      <c r="B173" s="973" t="s">
        <v>622</v>
      </c>
      <c r="J173" s="974">
        <f>J16+J21</f>
        <v>880.2037651999999</v>
      </c>
      <c r="K173" s="974">
        <f>K16+K21</f>
        <v>0</v>
      </c>
      <c r="L173" s="975">
        <f aca="true" t="shared" si="60" ref="L173:L180">SUM(J173:K173)</f>
        <v>880.2037651999999</v>
      </c>
      <c r="M173" s="567">
        <f t="shared" si="53"/>
        <v>0.10037177409701907</v>
      </c>
      <c r="N173" s="974">
        <f>N16+N21</f>
        <v>88.34761348</v>
      </c>
      <c r="O173" s="974">
        <f>O16+O21</f>
        <v>247</v>
      </c>
      <c r="P173" s="974">
        <f>P16+P21</f>
        <v>0</v>
      </c>
      <c r="Q173" s="975">
        <f aca="true" t="shared" si="61" ref="Q173:Q180">SUM(O173:P173)</f>
        <v>247</v>
      </c>
      <c r="R173" s="567">
        <f t="shared" si="47"/>
        <v>0.1</v>
      </c>
      <c r="S173" s="974">
        <f>S16+S21</f>
        <v>24.700000000000003</v>
      </c>
      <c r="T173" s="974">
        <f>T16+T21</f>
        <v>0</v>
      </c>
      <c r="U173" s="974">
        <f>U16+U21</f>
        <v>0</v>
      </c>
      <c r="V173" s="974">
        <f>V16+V21</f>
        <v>0</v>
      </c>
      <c r="W173" s="975">
        <f aca="true" t="shared" si="62" ref="W173:W180">SUM(U173:V173)</f>
        <v>0</v>
      </c>
      <c r="X173" s="567"/>
      <c r="Y173" s="974">
        <f>Y16+Y21</f>
        <v>0</v>
      </c>
      <c r="Z173" s="974">
        <f>Z16+Z21</f>
        <v>50</v>
      </c>
      <c r="AA173" s="971">
        <f t="shared" si="50"/>
        <v>1127.2037652</v>
      </c>
      <c r="AB173" s="971">
        <f t="shared" si="50"/>
        <v>0</v>
      </c>
      <c r="AC173" s="971"/>
      <c r="AD173" s="975">
        <f aca="true" t="shared" si="63" ref="AD173:AD180">SUM(AA173:AB173)</f>
        <v>1127.2037652</v>
      </c>
      <c r="AE173" s="547">
        <f t="shared" si="49"/>
        <v>0.10029030861154191</v>
      </c>
      <c r="AF173" s="567"/>
      <c r="AG173" s="567"/>
      <c r="AI173" s="567"/>
      <c r="AJ173" s="567"/>
      <c r="AK173" s="567"/>
      <c r="AL173" s="567"/>
      <c r="AM173" s="567"/>
      <c r="AN173" s="976">
        <f aca="true" t="shared" si="64" ref="AN173:AN180">SUM(N173:N173,S173,Y173)</f>
        <v>113.04761348000001</v>
      </c>
      <c r="AO173" s="977">
        <f t="shared" si="51"/>
        <v>50</v>
      </c>
      <c r="AP173" s="977">
        <f aca="true" t="shared" si="65" ref="AP173:AP180">AN173+AO173</f>
        <v>163.04761348</v>
      </c>
      <c r="AQ173" s="567">
        <f t="shared" si="52"/>
        <v>0.14464786094027146</v>
      </c>
      <c r="AR173" s="974">
        <f>AP16+AP21</f>
        <v>0</v>
      </c>
    </row>
    <row r="174" spans="1:44" ht="20.25">
      <c r="A174" s="972"/>
      <c r="B174" s="973" t="s">
        <v>623</v>
      </c>
      <c r="J174" s="974">
        <f>J32</f>
        <v>1175.0463696499992</v>
      </c>
      <c r="K174" s="974">
        <f>K32</f>
        <v>0</v>
      </c>
      <c r="L174" s="975">
        <f t="shared" si="60"/>
        <v>1175.0463696499992</v>
      </c>
      <c r="M174" s="567">
        <f t="shared" si="53"/>
        <v>0.05</v>
      </c>
      <c r="N174" s="974">
        <f>N32</f>
        <v>58.75231848249996</v>
      </c>
      <c r="O174" s="974">
        <f>O32</f>
        <v>0</v>
      </c>
      <c r="P174" s="974">
        <f>P32</f>
        <v>0</v>
      </c>
      <c r="Q174" s="975">
        <f t="shared" si="61"/>
        <v>0</v>
      </c>
      <c r="R174" s="567"/>
      <c r="S174" s="974">
        <f>S32</f>
        <v>0</v>
      </c>
      <c r="T174" s="974">
        <f>T32</f>
        <v>0</v>
      </c>
      <c r="U174" s="974">
        <f>U32</f>
        <v>0</v>
      </c>
      <c r="V174" s="974">
        <f>V32</f>
        <v>0</v>
      </c>
      <c r="W174" s="975">
        <f t="shared" si="62"/>
        <v>0</v>
      </c>
      <c r="X174" s="567"/>
      <c r="Y174" s="974">
        <f>Y32</f>
        <v>0</v>
      </c>
      <c r="Z174" s="974">
        <f>Z32</f>
        <v>0</v>
      </c>
      <c r="AA174" s="971">
        <f aca="true" t="shared" si="66" ref="AA174:AB181">SUM(J174:J174,O174,U174)</f>
        <v>1175.0463696499992</v>
      </c>
      <c r="AB174" s="971">
        <f t="shared" si="66"/>
        <v>0</v>
      </c>
      <c r="AC174" s="971"/>
      <c r="AD174" s="975">
        <f t="shared" si="63"/>
        <v>1175.0463696499992</v>
      </c>
      <c r="AE174" s="547">
        <f t="shared" si="49"/>
        <v>0.05</v>
      </c>
      <c r="AF174" s="567"/>
      <c r="AG174" s="567"/>
      <c r="AI174" s="567"/>
      <c r="AJ174" s="567"/>
      <c r="AK174" s="567"/>
      <c r="AL174" s="567"/>
      <c r="AM174" s="567"/>
      <c r="AN174" s="976">
        <f t="shared" si="64"/>
        <v>58.75231848249996</v>
      </c>
      <c r="AO174" s="977">
        <f t="shared" si="51"/>
        <v>0</v>
      </c>
      <c r="AP174" s="977">
        <f t="shared" si="65"/>
        <v>58.75231848249996</v>
      </c>
      <c r="AQ174" s="567">
        <f t="shared" si="52"/>
        <v>0.05</v>
      </c>
      <c r="AR174" s="974">
        <f>AP32</f>
        <v>0</v>
      </c>
    </row>
    <row r="175" spans="1:44" ht="20.25">
      <c r="A175" s="972"/>
      <c r="B175" s="973" t="s">
        <v>624</v>
      </c>
      <c r="J175" s="974">
        <f>SUM(J58:J61)</f>
        <v>0</v>
      </c>
      <c r="K175" s="974">
        <f>SUM(K58:K61)</f>
        <v>0</v>
      </c>
      <c r="L175" s="975">
        <f t="shared" si="60"/>
        <v>0</v>
      </c>
      <c r="M175" s="567"/>
      <c r="N175" s="974">
        <f>SUM(N58:N61)</f>
        <v>0</v>
      </c>
      <c r="O175" s="974">
        <f>SUM(O58:O61)</f>
        <v>138.2</v>
      </c>
      <c r="P175" s="974">
        <f>SUM(P58:P61)</f>
        <v>0</v>
      </c>
      <c r="Q175" s="975">
        <f t="shared" si="61"/>
        <v>138.2</v>
      </c>
      <c r="R175" s="567">
        <f t="shared" si="47"/>
        <v>0.1</v>
      </c>
      <c r="S175" s="974">
        <f>SUM(S58:S61)</f>
        <v>13.82</v>
      </c>
      <c r="T175" s="974">
        <f>SUM(T58:T61)</f>
        <v>0</v>
      </c>
      <c r="U175" s="974">
        <f>SUM(U58:U61)</f>
        <v>0</v>
      </c>
      <c r="V175" s="974">
        <f>SUM(V58:V61)</f>
        <v>0</v>
      </c>
      <c r="W175" s="975">
        <f t="shared" si="62"/>
        <v>0</v>
      </c>
      <c r="X175" s="567"/>
      <c r="Y175" s="974">
        <f>SUM(Y58:Y61)</f>
        <v>0</v>
      </c>
      <c r="Z175" s="974">
        <f>SUM(Z58:Z61)</f>
        <v>50</v>
      </c>
      <c r="AA175" s="971">
        <f t="shared" si="66"/>
        <v>138.2</v>
      </c>
      <c r="AB175" s="971">
        <f t="shared" si="66"/>
        <v>0</v>
      </c>
      <c r="AC175" s="971"/>
      <c r="AD175" s="975">
        <f t="shared" si="63"/>
        <v>138.2</v>
      </c>
      <c r="AE175" s="547">
        <f t="shared" si="49"/>
        <v>0.1</v>
      </c>
      <c r="AF175" s="567"/>
      <c r="AG175" s="567"/>
      <c r="AI175" s="567"/>
      <c r="AJ175" s="567"/>
      <c r="AK175" s="567"/>
      <c r="AL175" s="567"/>
      <c r="AM175" s="567"/>
      <c r="AN175" s="976">
        <f t="shared" si="64"/>
        <v>13.82</v>
      </c>
      <c r="AO175" s="977">
        <f t="shared" si="51"/>
        <v>50</v>
      </c>
      <c r="AP175" s="977">
        <f t="shared" si="65"/>
        <v>63.82</v>
      </c>
      <c r="AQ175" s="567">
        <f t="shared" si="52"/>
        <v>0.461794500723589</v>
      </c>
      <c r="AR175" s="974">
        <f>SUM(AP58:AP61)</f>
        <v>0</v>
      </c>
    </row>
    <row r="176" spans="1:44" ht="20.25">
      <c r="A176" s="972"/>
      <c r="B176" s="973" t="s">
        <v>625</v>
      </c>
      <c r="J176" s="974">
        <f>SUM(J62:J65)</f>
        <v>137.09896617000004</v>
      </c>
      <c r="K176" s="974">
        <f>SUM(K62:K65)</f>
        <v>0</v>
      </c>
      <c r="L176" s="975">
        <f t="shared" si="60"/>
        <v>137.09896617000004</v>
      </c>
      <c r="M176" s="567">
        <f t="shared" si="53"/>
        <v>0.131855376473697</v>
      </c>
      <c r="N176" s="974">
        <f>SUM(N62:N65)</f>
        <v>18.077235798500002</v>
      </c>
      <c r="O176" s="974">
        <f>SUM(O62:O65)</f>
        <v>59.6</v>
      </c>
      <c r="P176" s="974">
        <f>SUM(P62:P65)</f>
        <v>0</v>
      </c>
      <c r="Q176" s="975">
        <f t="shared" si="61"/>
        <v>59.6</v>
      </c>
      <c r="R176" s="567">
        <f t="shared" si="47"/>
        <v>0.21543624161073824</v>
      </c>
      <c r="S176" s="974">
        <f>SUM(S62:S65)</f>
        <v>12.84</v>
      </c>
      <c r="T176" s="974">
        <f>SUM(T62:T65)</f>
        <v>0</v>
      </c>
      <c r="U176" s="974">
        <f>SUM(U62:U65)</f>
        <v>0.1</v>
      </c>
      <c r="V176" s="974">
        <f>SUM(V62:V65)</f>
        <v>0</v>
      </c>
      <c r="W176" s="975">
        <f t="shared" si="62"/>
        <v>0.1</v>
      </c>
      <c r="X176" s="567">
        <f t="shared" si="48"/>
        <v>0</v>
      </c>
      <c r="Y176" s="974">
        <f>SUM(Y62:Y65)</f>
        <v>0</v>
      </c>
      <c r="Z176" s="974">
        <f>SUM(Z62:Z65)</f>
        <v>175</v>
      </c>
      <c r="AA176" s="971">
        <f t="shared" si="66"/>
        <v>196.79896617000003</v>
      </c>
      <c r="AB176" s="971">
        <f t="shared" si="66"/>
        <v>0</v>
      </c>
      <c r="AC176" s="971"/>
      <c r="AD176" s="975">
        <f t="shared" si="63"/>
        <v>196.79896617000003</v>
      </c>
      <c r="AE176" s="547">
        <f t="shared" si="49"/>
        <v>0.1571006006799492</v>
      </c>
      <c r="AF176" s="567"/>
      <c r="AG176" s="567"/>
      <c r="AI176" s="567"/>
      <c r="AJ176" s="567"/>
      <c r="AK176" s="567"/>
      <c r="AL176" s="567"/>
      <c r="AM176" s="567"/>
      <c r="AN176" s="976">
        <f t="shared" si="64"/>
        <v>30.917235798500002</v>
      </c>
      <c r="AO176" s="977">
        <f t="shared" si="51"/>
        <v>175</v>
      </c>
      <c r="AP176" s="977">
        <f t="shared" si="65"/>
        <v>205.9172357985</v>
      </c>
      <c r="AQ176" s="567">
        <f t="shared" si="52"/>
        <v>1.046332914272646</v>
      </c>
      <c r="AR176" s="974">
        <f>SUM(AP62:AP65)</f>
        <v>0</v>
      </c>
    </row>
    <row r="177" spans="1:44" ht="20.25">
      <c r="A177" s="972"/>
      <c r="B177" s="973" t="s">
        <v>626</v>
      </c>
      <c r="J177" s="974">
        <f>SUM(J66:J70)</f>
        <v>0</v>
      </c>
      <c r="K177" s="974">
        <f>SUM(K66:K70)</f>
        <v>-229</v>
      </c>
      <c r="L177" s="975">
        <f t="shared" si="60"/>
        <v>-229</v>
      </c>
      <c r="M177" s="567">
        <f t="shared" si="53"/>
        <v>0</v>
      </c>
      <c r="N177" s="974">
        <f>SUM(N66:N70)</f>
        <v>0</v>
      </c>
      <c r="O177" s="974">
        <f>SUM(O66:O70)</f>
        <v>2287</v>
      </c>
      <c r="P177" s="974">
        <f>SUM(P66:P70)</f>
        <v>-401</v>
      </c>
      <c r="Q177" s="975">
        <f t="shared" si="61"/>
        <v>1886</v>
      </c>
      <c r="R177" s="567">
        <f t="shared" si="47"/>
        <v>0.1</v>
      </c>
      <c r="S177" s="974">
        <f>SUM(S66:S70)</f>
        <v>188.60000000000002</v>
      </c>
      <c r="T177" s="974">
        <f>SUM(T66:T70)</f>
        <v>0</v>
      </c>
      <c r="U177" s="974">
        <f>SUM(U66:U70)</f>
        <v>173</v>
      </c>
      <c r="V177" s="974">
        <f>SUM(V66:V70)</f>
        <v>0</v>
      </c>
      <c r="W177" s="975">
        <f t="shared" si="62"/>
        <v>173</v>
      </c>
      <c r="X177" s="567">
        <f t="shared" si="48"/>
        <v>0</v>
      </c>
      <c r="Y177" s="974">
        <f>SUM(Y66:Y70)</f>
        <v>0</v>
      </c>
      <c r="Z177" s="974">
        <f>SUM(Z66:Z70)</f>
        <v>375</v>
      </c>
      <c r="AA177" s="971">
        <f t="shared" si="66"/>
        <v>2460</v>
      </c>
      <c r="AB177" s="971">
        <f t="shared" si="66"/>
        <v>-630</v>
      </c>
      <c r="AC177" s="971"/>
      <c r="AD177" s="975">
        <f t="shared" si="63"/>
        <v>1830</v>
      </c>
      <c r="AE177" s="547">
        <f t="shared" si="49"/>
        <v>0.1030601092896175</v>
      </c>
      <c r="AF177" s="567"/>
      <c r="AG177" s="567"/>
      <c r="AI177" s="567"/>
      <c r="AJ177" s="567"/>
      <c r="AK177" s="567"/>
      <c r="AL177" s="567"/>
      <c r="AM177" s="567"/>
      <c r="AN177" s="976">
        <f t="shared" si="64"/>
        <v>188.60000000000002</v>
      </c>
      <c r="AO177" s="977">
        <f t="shared" si="51"/>
        <v>375</v>
      </c>
      <c r="AP177" s="977">
        <f t="shared" si="65"/>
        <v>563.6</v>
      </c>
      <c r="AQ177" s="567">
        <f t="shared" si="52"/>
        <v>0.30797814207650276</v>
      </c>
      <c r="AR177" s="974">
        <f>SUM(AP66:AP70)</f>
        <v>0</v>
      </c>
    </row>
    <row r="178" spans="1:44" ht="20.25">
      <c r="A178" s="972"/>
      <c r="B178" s="973" t="s">
        <v>627</v>
      </c>
      <c r="J178" s="974">
        <f>SUM(J71:J77)</f>
        <v>0</v>
      </c>
      <c r="K178" s="974">
        <f>SUM(K71:K77)</f>
        <v>0</v>
      </c>
      <c r="L178" s="975">
        <f t="shared" si="60"/>
        <v>0</v>
      </c>
      <c r="M178" s="567"/>
      <c r="N178" s="974">
        <f>SUM(N71:N77)</f>
        <v>0</v>
      </c>
      <c r="O178" s="974">
        <f>SUM(O71:O77)</f>
        <v>730.1</v>
      </c>
      <c r="P178" s="974">
        <f>SUM(P71:P77)</f>
        <v>0</v>
      </c>
      <c r="Q178" s="975">
        <f t="shared" si="61"/>
        <v>730.1</v>
      </c>
      <c r="R178" s="567">
        <f t="shared" si="47"/>
        <v>0.1</v>
      </c>
      <c r="S178" s="974">
        <f>SUM(S71:S77)</f>
        <v>73.01</v>
      </c>
      <c r="T178" s="974">
        <f>SUM(T71:T77)</f>
        <v>0</v>
      </c>
      <c r="U178" s="974">
        <f>SUM(U71:U77)</f>
        <v>23</v>
      </c>
      <c r="V178" s="974">
        <f>SUM(V71:V77)</f>
        <v>0</v>
      </c>
      <c r="W178" s="975">
        <f t="shared" si="62"/>
        <v>23</v>
      </c>
      <c r="X178" s="567">
        <f t="shared" si="48"/>
        <v>0</v>
      </c>
      <c r="Y178" s="974">
        <f>SUM(Y71:Y77)</f>
        <v>0</v>
      </c>
      <c r="Z178" s="974">
        <f>SUM(Z71:Z77)</f>
        <v>290</v>
      </c>
      <c r="AA178" s="971">
        <f t="shared" si="66"/>
        <v>753.1</v>
      </c>
      <c r="AB178" s="971">
        <f t="shared" si="66"/>
        <v>0</v>
      </c>
      <c r="AC178" s="971"/>
      <c r="AD178" s="975">
        <f t="shared" si="63"/>
        <v>753.1</v>
      </c>
      <c r="AE178" s="547">
        <f t="shared" si="49"/>
        <v>0.09694595671225602</v>
      </c>
      <c r="AF178" s="567"/>
      <c r="AG178" s="567"/>
      <c r="AI178" s="567"/>
      <c r="AJ178" s="567"/>
      <c r="AK178" s="567"/>
      <c r="AL178" s="567"/>
      <c r="AM178" s="567"/>
      <c r="AN178" s="976">
        <f t="shared" si="64"/>
        <v>73.01</v>
      </c>
      <c r="AO178" s="977">
        <f t="shared" si="51"/>
        <v>290</v>
      </c>
      <c r="AP178" s="977">
        <f t="shared" si="65"/>
        <v>363.01</v>
      </c>
      <c r="AQ178" s="567">
        <f t="shared" si="52"/>
        <v>0.48202097994954185</v>
      </c>
      <c r="AR178" s="974">
        <f>SUM(AP71:AP77)</f>
        <v>0</v>
      </c>
    </row>
    <row r="179" spans="1:44" ht="20.25">
      <c r="A179" s="972"/>
      <c r="B179" s="973" t="s">
        <v>628</v>
      </c>
      <c r="J179" s="974">
        <f>SUM(J78:J82)</f>
        <v>0</v>
      </c>
      <c r="K179" s="974">
        <f>SUM(K78:K82)</f>
        <v>0</v>
      </c>
      <c r="L179" s="975">
        <f t="shared" si="60"/>
        <v>0</v>
      </c>
      <c r="M179" s="567"/>
      <c r="N179" s="974">
        <f>SUM(N78:N82)</f>
        <v>0</v>
      </c>
      <c r="O179" s="974">
        <f>SUM(O78:O82)</f>
        <v>576</v>
      </c>
      <c r="P179" s="974">
        <f>SUM(P78:P82)</f>
        <v>0</v>
      </c>
      <c r="Q179" s="975">
        <f t="shared" si="61"/>
        <v>576</v>
      </c>
      <c r="R179" s="567">
        <f t="shared" si="47"/>
        <v>0.5458333333333333</v>
      </c>
      <c r="S179" s="974">
        <f>SUM(S78:S82)</f>
        <v>314.4</v>
      </c>
      <c r="T179" s="974">
        <f>SUM(T78:T82)</f>
        <v>0</v>
      </c>
      <c r="U179" s="974">
        <f>SUM(U78:U82)</f>
        <v>0</v>
      </c>
      <c r="V179" s="974">
        <f>SUM(V78:V82)</f>
        <v>0</v>
      </c>
      <c r="W179" s="975">
        <f t="shared" si="62"/>
        <v>0</v>
      </c>
      <c r="X179" s="567"/>
      <c r="Y179" s="974">
        <f>SUM(Y78:Y82)</f>
        <v>0</v>
      </c>
      <c r="Z179" s="974">
        <f>SUM(Z78:Z82)</f>
        <v>100</v>
      </c>
      <c r="AA179" s="971">
        <f t="shared" si="66"/>
        <v>576</v>
      </c>
      <c r="AB179" s="971">
        <f t="shared" si="66"/>
        <v>0</v>
      </c>
      <c r="AC179" s="971"/>
      <c r="AD179" s="975">
        <f t="shared" si="63"/>
        <v>576</v>
      </c>
      <c r="AE179" s="547">
        <f t="shared" si="49"/>
        <v>0.5458333333333333</v>
      </c>
      <c r="AF179" s="567"/>
      <c r="AG179" s="567"/>
      <c r="AI179" s="567"/>
      <c r="AJ179" s="567"/>
      <c r="AK179" s="567"/>
      <c r="AL179" s="567"/>
      <c r="AM179" s="567"/>
      <c r="AN179" s="976">
        <f t="shared" si="64"/>
        <v>314.4</v>
      </c>
      <c r="AO179" s="977">
        <f t="shared" si="51"/>
        <v>100</v>
      </c>
      <c r="AP179" s="977">
        <f t="shared" si="65"/>
        <v>414.4</v>
      </c>
      <c r="AQ179" s="567">
        <f t="shared" si="52"/>
        <v>0.7194444444444444</v>
      </c>
      <c r="AR179" s="974">
        <f>SUM(AP78:AP82)</f>
        <v>314</v>
      </c>
    </row>
    <row r="180" spans="1:44" ht="20.25">
      <c r="A180" s="972"/>
      <c r="B180" s="973" t="s">
        <v>629</v>
      </c>
      <c r="J180" s="974">
        <f>SUM(J89:J90,J98)</f>
        <v>860.75305997839</v>
      </c>
      <c r="K180" s="974">
        <f>SUM(K89:K90,K98)</f>
        <v>-461</v>
      </c>
      <c r="L180" s="975">
        <f t="shared" si="60"/>
        <v>399.75305997838996</v>
      </c>
      <c r="M180" s="567">
        <f t="shared" si="53"/>
        <v>0.049999999999999996</v>
      </c>
      <c r="N180" s="974">
        <f>SUM(N89:N90,N98)</f>
        <v>19.987652998919497</v>
      </c>
      <c r="O180" s="974">
        <f>SUM(O89:O90,O98)</f>
        <v>756.7</v>
      </c>
      <c r="P180" s="974">
        <f>SUM(P89:P90,P98)</f>
        <v>-101</v>
      </c>
      <c r="Q180" s="975">
        <f t="shared" si="61"/>
        <v>655.7</v>
      </c>
      <c r="R180" s="567">
        <f t="shared" si="47"/>
        <v>0.1</v>
      </c>
      <c r="S180" s="974">
        <f>SUM(S89:S90,S98)</f>
        <v>65.57000000000001</v>
      </c>
      <c r="T180" s="974">
        <f>SUM(T89:T90,T98)</f>
        <v>0</v>
      </c>
      <c r="U180" s="974">
        <f>SUM(U89:U90,U98)</f>
        <v>84.5</v>
      </c>
      <c r="V180" s="974">
        <f>SUM(V89:V90,V98)</f>
        <v>0</v>
      </c>
      <c r="W180" s="975">
        <f t="shared" si="62"/>
        <v>84.5</v>
      </c>
      <c r="X180" s="567">
        <f t="shared" si="48"/>
        <v>0</v>
      </c>
      <c r="Y180" s="974">
        <f>SUM(Y89:Y90,Y98)</f>
        <v>0</v>
      </c>
      <c r="Z180" s="974">
        <f>SUM(Z89:Z90,Z98)</f>
        <v>60</v>
      </c>
      <c r="AA180" s="971">
        <f t="shared" si="66"/>
        <v>1701.95305997839</v>
      </c>
      <c r="AB180" s="971">
        <f t="shared" si="66"/>
        <v>-562</v>
      </c>
      <c r="AC180" s="971"/>
      <c r="AD180" s="975">
        <f t="shared" si="63"/>
        <v>1139.95305997839</v>
      </c>
      <c r="AE180" s="547">
        <f t="shared" si="49"/>
        <v>0.07505366317499197</v>
      </c>
      <c r="AF180" s="567"/>
      <c r="AG180" s="567"/>
      <c r="AI180" s="567"/>
      <c r="AJ180" s="567"/>
      <c r="AK180" s="567"/>
      <c r="AL180" s="567"/>
      <c r="AM180" s="567"/>
      <c r="AN180" s="976">
        <f t="shared" si="64"/>
        <v>85.55765299891951</v>
      </c>
      <c r="AO180" s="977">
        <f t="shared" si="51"/>
        <v>60</v>
      </c>
      <c r="AP180" s="977">
        <f t="shared" si="65"/>
        <v>145.5576529989195</v>
      </c>
      <c r="AQ180" s="567">
        <f t="shared" si="52"/>
        <v>0.1276874093409415</v>
      </c>
      <c r="AR180" s="974">
        <f>SUM(AP89:AP90,AP98)</f>
        <v>0</v>
      </c>
    </row>
    <row r="181" spans="1:44" ht="20.25">
      <c r="A181" s="980" t="s">
        <v>630</v>
      </c>
      <c r="B181" s="981"/>
      <c r="C181" s="969"/>
      <c r="D181" s="969"/>
      <c r="E181" s="969"/>
      <c r="F181" s="969"/>
      <c r="G181" s="969"/>
      <c r="H181" s="969"/>
      <c r="I181" s="969"/>
      <c r="J181" s="982">
        <f>J157+J161+J172</f>
        <v>11920.815095217416</v>
      </c>
      <c r="K181" s="982">
        <f>K157+K161+K172</f>
        <v>427</v>
      </c>
      <c r="L181" s="982">
        <f>L157+L161+L172</f>
        <v>12347.815095217416</v>
      </c>
      <c r="M181" s="567">
        <f t="shared" si="53"/>
        <v>0.11271005512221596</v>
      </c>
      <c r="N181" s="982">
        <f>N157+N161+N172</f>
        <v>1391.7229200208853</v>
      </c>
      <c r="O181" s="982">
        <f>O157+O161+O172</f>
        <v>12856.6</v>
      </c>
      <c r="P181" s="982">
        <f>P157+P161+P172</f>
        <v>-415.7</v>
      </c>
      <c r="Q181" s="982">
        <f>Q157+Q161+Q172</f>
        <v>12440.9</v>
      </c>
      <c r="R181" s="567">
        <f t="shared" si="47"/>
        <v>0.27770224019162604</v>
      </c>
      <c r="S181" s="982">
        <f>S157+S161+S172</f>
        <v>3454.8658</v>
      </c>
      <c r="T181" s="982">
        <f>T157+T161+T172</f>
        <v>2705</v>
      </c>
      <c r="U181" s="982">
        <f>U157+U161+U172</f>
        <v>2291.1</v>
      </c>
      <c r="V181" s="982">
        <f>V157+V161+V172</f>
        <v>-11.5</v>
      </c>
      <c r="W181" s="982">
        <f>W157+W161+W172</f>
        <v>2279.6</v>
      </c>
      <c r="X181" s="567">
        <f t="shared" si="48"/>
        <v>0.06264082148461586</v>
      </c>
      <c r="Y181" s="982">
        <f>Y157+Y161+Y172</f>
        <v>142.7960166563303</v>
      </c>
      <c r="Z181" s="982">
        <f>Z157+Z161+Z172</f>
        <v>3900.0225</v>
      </c>
      <c r="AA181" s="971">
        <f t="shared" si="66"/>
        <v>27068.515095217415</v>
      </c>
      <c r="AB181" s="971">
        <f t="shared" si="66"/>
        <v>-0.19999999999998863</v>
      </c>
      <c r="AC181" s="971"/>
      <c r="AD181" s="982">
        <f>AD157+AD161+AD172</f>
        <v>27068.31509521742</v>
      </c>
      <c r="AE181" s="547">
        <f t="shared" si="49"/>
        <v>0.18432564860894385</v>
      </c>
      <c r="AF181" s="567"/>
      <c r="AG181" s="567"/>
      <c r="AI181" s="567"/>
      <c r="AJ181" s="567"/>
      <c r="AK181" s="567"/>
      <c r="AL181" s="567"/>
      <c r="AM181" s="567"/>
      <c r="AN181" s="982">
        <f>AN157+AN161+AN172</f>
        <v>4989.384736677216</v>
      </c>
      <c r="AO181" s="982">
        <f>AO157+AO161+AO172</f>
        <v>6605.0225</v>
      </c>
      <c r="AP181" s="982">
        <f>AP157+AP161+AP172</f>
        <v>11594.407236677216</v>
      </c>
      <c r="AQ181" s="567">
        <f t="shared" si="52"/>
        <v>0.42833871247219896</v>
      </c>
      <c r="AR181" s="982">
        <f>AR157+AR161+AR172</f>
        <v>2342</v>
      </c>
    </row>
    <row r="182" spans="1:25" ht="20.25">
      <c r="A182" s="983" t="s">
        <v>90</v>
      </c>
      <c r="B182" s="984"/>
      <c r="J182" s="985">
        <f>J99</f>
        <v>1828</v>
      </c>
      <c r="K182" s="985"/>
      <c r="L182" s="985">
        <f>L147</f>
        <v>0</v>
      </c>
      <c r="O182" s="985">
        <f>O99</f>
        <v>3075</v>
      </c>
      <c r="P182" s="985"/>
      <c r="Q182" s="985">
        <f>Q147</f>
        <v>0</v>
      </c>
      <c r="S182" s="985">
        <f>S147</f>
        <v>0</v>
      </c>
      <c r="U182" s="985">
        <f>U99</f>
        <v>132</v>
      </c>
      <c r="V182" s="985"/>
      <c r="W182" s="985">
        <f>W147</f>
        <v>0</v>
      </c>
      <c r="Y182" s="985">
        <f>Y147</f>
        <v>0</v>
      </c>
    </row>
    <row r="185" ht="21" thickBot="1"/>
    <row r="186" spans="10:42" ht="20.25">
      <c r="J186" s="779" t="s">
        <v>92</v>
      </c>
      <c r="K186" s="560"/>
      <c r="L186" s="560"/>
      <c r="M186" s="780"/>
      <c r="N186" s="780"/>
      <c r="O186" s="779" t="s">
        <v>93</v>
      </c>
      <c r="P186" s="560"/>
      <c r="Q186" s="560"/>
      <c r="R186" s="781"/>
      <c r="S186" s="782"/>
      <c r="T186" s="783"/>
      <c r="U186" s="784" t="s">
        <v>94</v>
      </c>
      <c r="V186" s="784"/>
      <c r="W186" s="784"/>
      <c r="X186" s="785"/>
      <c r="Y186" s="786"/>
      <c r="Z186" s="787"/>
      <c r="AA186" s="925" t="s">
        <v>95</v>
      </c>
      <c r="AB186" s="926"/>
      <c r="AC186" s="926"/>
      <c r="AD186" s="560"/>
      <c r="AE186" s="927"/>
      <c r="AF186" s="560"/>
      <c r="AG186" s="560"/>
      <c r="AH186" s="1011"/>
      <c r="AI186" s="560"/>
      <c r="AJ186" s="560"/>
      <c r="AK186" s="560"/>
      <c r="AL186" s="560"/>
      <c r="AM186" s="560"/>
      <c r="AN186" s="560"/>
      <c r="AO186" s="792"/>
      <c r="AP186" s="793"/>
    </row>
    <row r="187" spans="10:44" ht="91.5" thickBot="1">
      <c r="J187" s="964" t="s">
        <v>597</v>
      </c>
      <c r="K187" s="808" t="s">
        <v>250</v>
      </c>
      <c r="L187" s="808" t="s">
        <v>251</v>
      </c>
      <c r="M187" s="809" t="s">
        <v>328</v>
      </c>
      <c r="N187" s="810" t="s">
        <v>344</v>
      </c>
      <c r="O187" s="811" t="s">
        <v>461</v>
      </c>
      <c r="P187" s="808" t="s">
        <v>250</v>
      </c>
      <c r="Q187" s="808" t="s">
        <v>251</v>
      </c>
      <c r="R187" s="809" t="s">
        <v>328</v>
      </c>
      <c r="S187" s="810" t="s">
        <v>344</v>
      </c>
      <c r="T187" s="812" t="s">
        <v>330</v>
      </c>
      <c r="U187" s="811" t="s">
        <v>461</v>
      </c>
      <c r="V187" s="808" t="s">
        <v>250</v>
      </c>
      <c r="W187" s="808" t="s">
        <v>251</v>
      </c>
      <c r="X187" s="809" t="s">
        <v>328</v>
      </c>
      <c r="Y187" s="810" t="s">
        <v>344</v>
      </c>
      <c r="Z187" s="813" t="s">
        <v>330</v>
      </c>
      <c r="AA187" s="814" t="s">
        <v>597</v>
      </c>
      <c r="AB187" s="816" t="s">
        <v>250</v>
      </c>
      <c r="AC187" s="816"/>
      <c r="AD187" s="817" t="s">
        <v>251</v>
      </c>
      <c r="AE187" s="818" t="s">
        <v>328</v>
      </c>
      <c r="AF187" s="552"/>
      <c r="AG187" s="552"/>
      <c r="AH187" s="552"/>
      <c r="AI187" s="552"/>
      <c r="AJ187" s="552"/>
      <c r="AK187" s="552"/>
      <c r="AL187" s="552"/>
      <c r="AM187" s="552"/>
      <c r="AN187" s="813" t="s">
        <v>329</v>
      </c>
      <c r="AO187" s="812" t="s">
        <v>330</v>
      </c>
      <c r="AP187" s="812" t="s">
        <v>603</v>
      </c>
      <c r="AQ187" s="552" t="s">
        <v>604</v>
      </c>
      <c r="AR187" s="819" t="s">
        <v>601</v>
      </c>
    </row>
    <row r="188" spans="1:44" ht="20.25">
      <c r="A188" s="965" t="s">
        <v>605</v>
      </c>
      <c r="B188" s="966"/>
      <c r="AP188" s="565"/>
      <c r="AQ188" s="565"/>
      <c r="AR188" s="958"/>
    </row>
    <row r="189" spans="1:44" ht="20.25">
      <c r="A189" s="967" t="s">
        <v>606</v>
      </c>
      <c r="B189" s="968"/>
      <c r="C189" s="969"/>
      <c r="D189" s="969"/>
      <c r="E189" s="969"/>
      <c r="F189" s="969"/>
      <c r="G189" s="969"/>
      <c r="H189" s="969"/>
      <c r="I189" s="969"/>
      <c r="J189" s="970">
        <f>+J157-'[2]Contingency'!I156</f>
        <v>0</v>
      </c>
      <c r="K189" s="970">
        <f>+K157-'[2]Contingency'!J156</f>
        <v>0</v>
      </c>
      <c r="L189" s="970">
        <f>+L157-'[2]Contingency'!K156</f>
        <v>0</v>
      </c>
      <c r="M189" s="567">
        <f>+M157-'[2]Contingency'!L156</f>
        <v>0</v>
      </c>
      <c r="N189" s="970">
        <f>+N157-'[2]Contingency'!M156</f>
        <v>0</v>
      </c>
      <c r="O189" s="970">
        <f>+O157-'[2]Contingency'!N156</f>
        <v>0</v>
      </c>
      <c r="P189" s="970">
        <f>+P157-'[2]Contingency'!O156</f>
        <v>0</v>
      </c>
      <c r="Q189" s="970">
        <f>+Q157-'[2]Contingency'!P156</f>
        <v>0</v>
      </c>
      <c r="R189" s="567">
        <f>+R157-'[2]Contingency'!Q156</f>
        <v>0</v>
      </c>
      <c r="S189" s="970">
        <f>+S157-'[2]Contingency'!R156</f>
        <v>0</v>
      </c>
      <c r="T189" s="970">
        <f>+T157-'[2]Contingency'!S156</f>
        <v>0</v>
      </c>
      <c r="U189" s="970">
        <f>+U157-'[2]Contingency'!T156</f>
        <v>0</v>
      </c>
      <c r="V189" s="970">
        <f>+V157-'[2]Contingency'!U156</f>
        <v>0</v>
      </c>
      <c r="W189" s="970">
        <f>+W157-'[2]Contingency'!V156</f>
        <v>0</v>
      </c>
      <c r="X189" s="567">
        <f>+X157-'[2]Contingency'!W156</f>
        <v>0</v>
      </c>
      <c r="Y189" s="970">
        <f>+Y157-'[2]Contingency'!X156</f>
        <v>0</v>
      </c>
      <c r="Z189" s="970">
        <f>+Z157-'[2]Contingency'!Y156</f>
        <v>0</v>
      </c>
      <c r="AA189" s="971">
        <f>+AA157-'[2]Contingency'!Z156</f>
        <v>0</v>
      </c>
      <c r="AB189" s="971">
        <f>+AB157-'[2]Contingency'!AA156</f>
        <v>0</v>
      </c>
      <c r="AC189" s="971"/>
      <c r="AD189" s="970">
        <f>+AD157-'[2]Contingency'!AB156</f>
        <v>0</v>
      </c>
      <c r="AE189" s="547">
        <f>+AE157-'[2]Contingency'!AC156</f>
        <v>0</v>
      </c>
      <c r="AF189" s="567"/>
      <c r="AG189" s="567"/>
      <c r="AI189" s="567"/>
      <c r="AJ189" s="567"/>
      <c r="AK189" s="567"/>
      <c r="AL189" s="567"/>
      <c r="AM189" s="567"/>
      <c r="AN189" s="970">
        <f>+AN157-'[2]Contingency'!AD156</f>
        <v>0</v>
      </c>
      <c r="AO189" s="970">
        <f>+AO157-'[2]Contingency'!AE156</f>
        <v>0</v>
      </c>
      <c r="AP189" s="970">
        <f>+AP157-'[2]Contingency'!AF156</f>
        <v>0</v>
      </c>
      <c r="AQ189" s="567">
        <f>+AQ157-'[2]Contingency'!AG156</f>
        <v>0</v>
      </c>
      <c r="AR189" s="970">
        <f>+AR157-'[2]Contingency'!AH156</f>
        <v>0</v>
      </c>
    </row>
    <row r="190" spans="1:44" ht="36">
      <c r="A190" s="972"/>
      <c r="B190" s="973" t="s">
        <v>607</v>
      </c>
      <c r="J190" s="974">
        <f>+J158-'[2]Contingency'!I157</f>
        <v>0</v>
      </c>
      <c r="K190" s="974">
        <f>+K158-'[2]Contingency'!J157</f>
        <v>0</v>
      </c>
      <c r="L190" s="975">
        <f>+L158-'[2]Contingency'!K157</f>
        <v>0</v>
      </c>
      <c r="M190" s="567">
        <f>+M158-'[2]Contingency'!L157</f>
        <v>0</v>
      </c>
      <c r="N190" s="974">
        <f>+N158-'[2]Contingency'!M157</f>
        <v>0</v>
      </c>
      <c r="O190" s="974">
        <f>+O158-'[2]Contingency'!N157</f>
        <v>0</v>
      </c>
      <c r="P190" s="974">
        <f>+P158-'[2]Contingency'!O157</f>
        <v>0</v>
      </c>
      <c r="Q190" s="975">
        <f>+Q158-'[2]Contingency'!P157</f>
        <v>0</v>
      </c>
      <c r="R190" s="567">
        <f>+R158-'[2]Contingency'!Q157</f>
        <v>0</v>
      </c>
      <c r="S190" s="974">
        <f>+S158-'[2]Contingency'!R157</f>
        <v>0</v>
      </c>
      <c r="T190" s="974">
        <f>+T158-'[2]Contingency'!S157</f>
        <v>0</v>
      </c>
      <c r="U190" s="974">
        <f>+U158-'[2]Contingency'!T157</f>
        <v>0</v>
      </c>
      <c r="V190" s="974">
        <f>+V158-'[2]Contingency'!U157</f>
        <v>0</v>
      </c>
      <c r="W190" s="975">
        <f>+W158-'[2]Contingency'!V157</f>
        <v>0</v>
      </c>
      <c r="X190" s="567" t="e">
        <f>+X158-'[2]Contingency'!W157</f>
        <v>#REF!</v>
      </c>
      <c r="Y190" s="974">
        <f>+Y158-'[2]Contingency'!X157</f>
        <v>0</v>
      </c>
      <c r="Z190" s="974">
        <f>+Z158-'[2]Contingency'!Y157</f>
        <v>0</v>
      </c>
      <c r="AA190" s="971">
        <f>+AA158-'[2]Contingency'!Z157</f>
        <v>0</v>
      </c>
      <c r="AB190" s="971">
        <f>+AB158-'[2]Contingency'!AA157</f>
        <v>0</v>
      </c>
      <c r="AC190" s="971"/>
      <c r="AD190" s="975">
        <f>+AD158-'[2]Contingency'!AB157</f>
        <v>0</v>
      </c>
      <c r="AE190" s="547">
        <f>+AE158-'[2]Contingency'!AC157</f>
        <v>0</v>
      </c>
      <c r="AF190" s="567"/>
      <c r="AG190" s="567"/>
      <c r="AI190" s="567"/>
      <c r="AJ190" s="567"/>
      <c r="AK190" s="567"/>
      <c r="AL190" s="567"/>
      <c r="AM190" s="567"/>
      <c r="AN190" s="976">
        <f>+AN158-'[2]Contingency'!AD157</f>
        <v>0</v>
      </c>
      <c r="AO190" s="977">
        <f>+AO158-'[2]Contingency'!AE157</f>
        <v>0</v>
      </c>
      <c r="AP190" s="977">
        <f>+AP158-'[2]Contingency'!AF157</f>
        <v>0</v>
      </c>
      <c r="AQ190" s="567">
        <f>+AQ158-'[2]Contingency'!AG157</f>
        <v>0</v>
      </c>
      <c r="AR190" s="974">
        <f>+AR158-'[2]Contingency'!AH157</f>
        <v>0</v>
      </c>
    </row>
    <row r="191" spans="1:44" ht="36">
      <c r="A191" s="972"/>
      <c r="B191" s="973" t="s">
        <v>608</v>
      </c>
      <c r="J191" s="974">
        <f>+J159-'[2]Contingency'!I158</f>
        <v>0</v>
      </c>
      <c r="K191" s="974">
        <f>+K159-'[2]Contingency'!J158</f>
        <v>0</v>
      </c>
      <c r="L191" s="975">
        <f>+L159-'[2]Contingency'!K158</f>
        <v>0</v>
      </c>
      <c r="M191" s="567">
        <f>+M159-'[2]Contingency'!L158</f>
        <v>0</v>
      </c>
      <c r="N191" s="974">
        <f>+N159-'[2]Contingency'!M158</f>
        <v>0</v>
      </c>
      <c r="O191" s="974">
        <f>+O159-'[2]Contingency'!N158</f>
        <v>0</v>
      </c>
      <c r="P191" s="974">
        <f>+P159-'[2]Contingency'!O158</f>
        <v>0</v>
      </c>
      <c r="Q191" s="975">
        <f>+Q159-'[2]Contingency'!P158</f>
        <v>0</v>
      </c>
      <c r="R191" s="567">
        <f>+R159-'[2]Contingency'!Q158</f>
        <v>0</v>
      </c>
      <c r="S191" s="974">
        <f>+S159-'[2]Contingency'!R158</f>
        <v>0</v>
      </c>
      <c r="T191" s="974">
        <f>+T159-'[2]Contingency'!S158</f>
        <v>0</v>
      </c>
      <c r="U191" s="974">
        <f>+U159-'[2]Contingency'!T158</f>
        <v>0</v>
      </c>
      <c r="V191" s="974">
        <f>+V159-'[2]Contingency'!U158</f>
        <v>0</v>
      </c>
      <c r="W191" s="975">
        <f>+W159-'[2]Contingency'!V158</f>
        <v>0</v>
      </c>
      <c r="X191" s="567" t="e">
        <f>+X159-'[2]Contingency'!W158</f>
        <v>#REF!</v>
      </c>
      <c r="Y191" s="974">
        <f>+Y159-'[2]Contingency'!X158</f>
        <v>0</v>
      </c>
      <c r="Z191" s="974">
        <f>+Z159-'[2]Contingency'!Y158</f>
        <v>0</v>
      </c>
      <c r="AA191" s="971">
        <f>+AA159-'[2]Contingency'!Z158</f>
        <v>0</v>
      </c>
      <c r="AB191" s="971">
        <f>+AB159-'[2]Contingency'!AA158</f>
        <v>0</v>
      </c>
      <c r="AC191" s="971"/>
      <c r="AD191" s="975">
        <f>+AD159-'[2]Contingency'!AB158</f>
        <v>0</v>
      </c>
      <c r="AE191" s="547">
        <f>+AE159-'[2]Contingency'!AC158</f>
        <v>0</v>
      </c>
      <c r="AF191" s="567"/>
      <c r="AG191" s="567"/>
      <c r="AI191" s="567"/>
      <c r="AJ191" s="567"/>
      <c r="AK191" s="567"/>
      <c r="AL191" s="567"/>
      <c r="AM191" s="567"/>
      <c r="AN191" s="976">
        <f>+AN159-'[2]Contingency'!AD158</f>
        <v>0</v>
      </c>
      <c r="AO191" s="977">
        <f>+AO159-'[2]Contingency'!AE158</f>
        <v>0</v>
      </c>
      <c r="AP191" s="977">
        <f>+AP159-'[2]Contingency'!AF158</f>
        <v>0</v>
      </c>
      <c r="AQ191" s="567">
        <f>+AQ159-'[2]Contingency'!AG158</f>
        <v>0</v>
      </c>
      <c r="AR191" s="974">
        <f>+AR159-'[2]Contingency'!AH158</f>
        <v>0</v>
      </c>
    </row>
    <row r="192" spans="1:44" ht="20.25">
      <c r="A192" s="972"/>
      <c r="B192" s="973" t="s">
        <v>609</v>
      </c>
      <c r="J192" s="974">
        <f>+J160-'[2]Contingency'!I159</f>
        <v>0</v>
      </c>
      <c r="K192" s="974">
        <f>+K160-'[2]Contingency'!J159</f>
        <v>0</v>
      </c>
      <c r="L192" s="975">
        <f>+L160-'[2]Contingency'!K159</f>
        <v>0</v>
      </c>
      <c r="M192" s="567">
        <f>+M160-'[2]Contingency'!L159</f>
        <v>0</v>
      </c>
      <c r="N192" s="974">
        <f>+N160-'[2]Contingency'!M159</f>
        <v>0</v>
      </c>
      <c r="O192" s="974">
        <f>+O160-'[2]Contingency'!N159</f>
        <v>0</v>
      </c>
      <c r="P192" s="974">
        <f>+P160-'[2]Contingency'!O159</f>
        <v>0</v>
      </c>
      <c r="Q192" s="975">
        <f>+Q160-'[2]Contingency'!P159</f>
        <v>0</v>
      </c>
      <c r="R192" s="567">
        <f>+R160-'[2]Contingency'!Q159</f>
        <v>0</v>
      </c>
      <c r="S192" s="974">
        <f>+S160-'[2]Contingency'!R159</f>
        <v>0</v>
      </c>
      <c r="T192" s="974">
        <f>+T160-'[2]Contingency'!S159</f>
        <v>0</v>
      </c>
      <c r="U192" s="974">
        <f>+U160-'[2]Contingency'!T159</f>
        <v>0</v>
      </c>
      <c r="V192" s="974">
        <f>+V160-'[2]Contingency'!U159</f>
        <v>0</v>
      </c>
      <c r="W192" s="975">
        <f>+W160-'[2]Contingency'!V159</f>
        <v>0</v>
      </c>
      <c r="X192" s="567">
        <f>+X160-'[2]Contingency'!W159</f>
        <v>0</v>
      </c>
      <c r="Y192" s="974">
        <f>+Y160-'[2]Contingency'!X159</f>
        <v>0</v>
      </c>
      <c r="Z192" s="974">
        <f>+Z160-'[2]Contingency'!Y159</f>
        <v>0</v>
      </c>
      <c r="AA192" s="971">
        <f>+AA160-'[2]Contingency'!Z159</f>
        <v>0</v>
      </c>
      <c r="AB192" s="971">
        <f>+AB160-'[2]Contingency'!AA159</f>
        <v>0</v>
      </c>
      <c r="AC192" s="971"/>
      <c r="AD192" s="975">
        <f>+AD160-'[2]Contingency'!AB159</f>
        <v>0</v>
      </c>
      <c r="AE192" s="547">
        <f>+AE160-'[2]Contingency'!AC159</f>
        <v>0</v>
      </c>
      <c r="AF192" s="567"/>
      <c r="AG192" s="567"/>
      <c r="AI192" s="567"/>
      <c r="AJ192" s="567"/>
      <c r="AK192" s="567"/>
      <c r="AL192" s="567"/>
      <c r="AM192" s="567"/>
      <c r="AN192" s="976">
        <f>+AN160-'[2]Contingency'!AD159</f>
        <v>0</v>
      </c>
      <c r="AO192" s="977">
        <f>+AO160-'[2]Contingency'!AE159</f>
        <v>0</v>
      </c>
      <c r="AP192" s="977">
        <f>+AP160-'[2]Contingency'!AF159</f>
        <v>0</v>
      </c>
      <c r="AQ192" s="567">
        <f>+AQ160-'[2]Contingency'!AG159</f>
        <v>0</v>
      </c>
      <c r="AR192" s="974">
        <f>+AR160-'[2]Contingency'!AH159</f>
        <v>0</v>
      </c>
    </row>
    <row r="193" spans="1:44" ht="20.25">
      <c r="A193" s="979" t="s">
        <v>610</v>
      </c>
      <c r="B193" s="968"/>
      <c r="C193" s="969"/>
      <c r="D193" s="969"/>
      <c r="E193" s="969"/>
      <c r="F193" s="969"/>
      <c r="G193" s="969"/>
      <c r="H193" s="969"/>
      <c r="I193" s="969"/>
      <c r="J193" s="970">
        <f>+J161-'[2]Contingency'!I160</f>
        <v>0</v>
      </c>
      <c r="K193" s="970">
        <f>+K161-'[2]Contingency'!J160</f>
        <v>0</v>
      </c>
      <c r="L193" s="970">
        <f>+L161-'[2]Contingency'!K160</f>
        <v>0</v>
      </c>
      <c r="M193" s="567">
        <f>+M161-'[2]Contingency'!L160</f>
        <v>0</v>
      </c>
      <c r="N193" s="970">
        <f>+N161-'[2]Contingency'!M160</f>
        <v>0</v>
      </c>
      <c r="O193" s="970">
        <f>+O161-'[2]Contingency'!N160</f>
        <v>0</v>
      </c>
      <c r="P193" s="970">
        <f>+P161-'[2]Contingency'!O160</f>
        <v>0</v>
      </c>
      <c r="Q193" s="970">
        <f>+Q161-'[2]Contingency'!P160</f>
        <v>0</v>
      </c>
      <c r="R193" s="567">
        <f>+R161-'[2]Contingency'!Q160</f>
        <v>0</v>
      </c>
      <c r="S193" s="970">
        <f>+S161-'[2]Contingency'!R160</f>
        <v>0</v>
      </c>
      <c r="T193" s="970">
        <f>+T161-'[2]Contingency'!S160</f>
        <v>0</v>
      </c>
      <c r="U193" s="970">
        <f>+U161-'[2]Contingency'!T160</f>
        <v>0</v>
      </c>
      <c r="V193" s="970">
        <f>+V161-'[2]Contingency'!U160</f>
        <v>0</v>
      </c>
      <c r="W193" s="970">
        <f>+W161-'[2]Contingency'!V160</f>
        <v>0</v>
      </c>
      <c r="X193" s="567">
        <f>+X161-'[2]Contingency'!W160</f>
        <v>0</v>
      </c>
      <c r="Y193" s="970">
        <f>+Y161-'[2]Contingency'!X160</f>
        <v>0</v>
      </c>
      <c r="Z193" s="970">
        <f>+Z161-'[2]Contingency'!Y160</f>
        <v>0</v>
      </c>
      <c r="AA193" s="971">
        <f>+AA161-'[2]Contingency'!Z160</f>
        <v>0</v>
      </c>
      <c r="AB193" s="971">
        <f>+AB161-'[2]Contingency'!AA160</f>
        <v>0</v>
      </c>
      <c r="AC193" s="971"/>
      <c r="AD193" s="970">
        <f>+AD161-'[2]Contingency'!AB160</f>
        <v>0</v>
      </c>
      <c r="AE193" s="547">
        <f>+AE161-'[2]Contingency'!AC160</f>
        <v>0</v>
      </c>
      <c r="AF193" s="567"/>
      <c r="AG193" s="567"/>
      <c r="AI193" s="567"/>
      <c r="AJ193" s="567"/>
      <c r="AK193" s="567"/>
      <c r="AL193" s="567"/>
      <c r="AM193" s="567"/>
      <c r="AN193" s="970">
        <f>+AN161-'[2]Contingency'!AD160</f>
        <v>0</v>
      </c>
      <c r="AO193" s="970">
        <f>+AO161-'[2]Contingency'!AE160</f>
        <v>0</v>
      </c>
      <c r="AP193" s="970">
        <f>+AP161-'[2]Contingency'!AF160</f>
        <v>0</v>
      </c>
      <c r="AQ193" s="567">
        <f>+AQ161-'[2]Contingency'!AG160</f>
        <v>0</v>
      </c>
      <c r="AR193" s="970">
        <f>+AR161-'[2]Contingency'!AH160</f>
        <v>0</v>
      </c>
    </row>
    <row r="194" spans="1:44" ht="20.25">
      <c r="A194" s="972"/>
      <c r="B194" s="973" t="s">
        <v>611</v>
      </c>
      <c r="J194" s="974">
        <f>+J162-'[2]Contingency'!I161</f>
        <v>0</v>
      </c>
      <c r="K194" s="974">
        <f>+K162-'[2]Contingency'!J161</f>
        <v>0</v>
      </c>
      <c r="L194" s="975">
        <f>+L162-'[2]Contingency'!K161</f>
        <v>0</v>
      </c>
      <c r="M194" s="567">
        <f>+M162-'[2]Contingency'!L161</f>
        <v>0</v>
      </c>
      <c r="N194" s="974">
        <f>+N162-'[2]Contingency'!M161</f>
        <v>0</v>
      </c>
      <c r="O194" s="974">
        <f>+O162-'[2]Contingency'!N161</f>
        <v>0</v>
      </c>
      <c r="P194" s="974">
        <f>+P162-'[2]Contingency'!O161</f>
        <v>0</v>
      </c>
      <c r="Q194" s="975">
        <f>+Q162-'[2]Contingency'!P161</f>
        <v>0</v>
      </c>
      <c r="R194" s="567">
        <f>+R162-'[2]Contingency'!Q161</f>
        <v>0</v>
      </c>
      <c r="S194" s="974">
        <f>+S162-'[2]Contingency'!R161</f>
        <v>0</v>
      </c>
      <c r="T194" s="974">
        <f>+T162-'[2]Contingency'!S161</f>
        <v>0</v>
      </c>
      <c r="U194" s="974">
        <f>+U162-'[2]Contingency'!T161</f>
        <v>0</v>
      </c>
      <c r="V194" s="974">
        <f>+V162-'[2]Contingency'!U161</f>
        <v>0</v>
      </c>
      <c r="W194" s="975">
        <f>+W162-'[2]Contingency'!V161</f>
        <v>0</v>
      </c>
      <c r="X194" s="567" t="e">
        <f>+X162-'[2]Contingency'!W161</f>
        <v>#REF!</v>
      </c>
      <c r="Y194" s="974">
        <f>+Y162-'[2]Contingency'!X161</f>
        <v>0</v>
      </c>
      <c r="Z194" s="974">
        <f>+Z162-'[2]Contingency'!Y161</f>
        <v>0</v>
      </c>
      <c r="AA194" s="971">
        <f>+AA162-'[2]Contingency'!Z161</f>
        <v>0</v>
      </c>
      <c r="AB194" s="971">
        <f>+AB162-'[2]Contingency'!AA161</f>
        <v>0</v>
      </c>
      <c r="AC194" s="971"/>
      <c r="AD194" s="975">
        <f>+AD162-'[2]Contingency'!AB161</f>
        <v>0</v>
      </c>
      <c r="AE194" s="547">
        <f>+AE162-'[2]Contingency'!AC161</f>
        <v>0</v>
      </c>
      <c r="AF194" s="567"/>
      <c r="AG194" s="567"/>
      <c r="AI194" s="567"/>
      <c r="AJ194" s="567"/>
      <c r="AK194" s="567"/>
      <c r="AL194" s="567"/>
      <c r="AM194" s="567"/>
      <c r="AN194" s="976">
        <f>+AN162-'[2]Contingency'!AD161</f>
        <v>0</v>
      </c>
      <c r="AO194" s="977">
        <f>+AO162-'[2]Contingency'!AE161</f>
        <v>0</v>
      </c>
      <c r="AP194" s="977">
        <f>+AP162-'[2]Contingency'!AF161</f>
        <v>0</v>
      </c>
      <c r="AQ194" s="567">
        <f>+AQ162-'[2]Contingency'!AG161</f>
        <v>0</v>
      </c>
      <c r="AR194" s="974">
        <f>+AR162-'[2]Contingency'!AH161</f>
        <v>0</v>
      </c>
    </row>
    <row r="195" spans="1:44" ht="36">
      <c r="A195" s="972"/>
      <c r="B195" s="973" t="s">
        <v>612</v>
      </c>
      <c r="J195" s="974">
        <f>+J163-'[2]Contingency'!I162</f>
        <v>0</v>
      </c>
      <c r="K195" s="974">
        <f>+K163-'[2]Contingency'!J162</f>
        <v>0</v>
      </c>
      <c r="L195" s="975">
        <f>+L163-'[2]Contingency'!K162</f>
        <v>0</v>
      </c>
      <c r="M195" s="567">
        <f>+M163-'[2]Contingency'!L162</f>
        <v>0</v>
      </c>
      <c r="N195" s="974">
        <f>+N163-'[2]Contingency'!M162</f>
        <v>0</v>
      </c>
      <c r="O195" s="974">
        <f>+O163-'[2]Contingency'!N162</f>
        <v>0</v>
      </c>
      <c r="P195" s="974">
        <f>+P163-'[2]Contingency'!O162</f>
        <v>0</v>
      </c>
      <c r="Q195" s="975">
        <f>+Q163-'[2]Contingency'!P162</f>
        <v>0</v>
      </c>
      <c r="R195" s="567">
        <f>+R163-'[2]Contingency'!Q162</f>
        <v>0</v>
      </c>
      <c r="S195" s="974">
        <f>+S163-'[2]Contingency'!R162</f>
        <v>0</v>
      </c>
      <c r="T195" s="974">
        <f>+T163-'[2]Contingency'!S162</f>
        <v>0</v>
      </c>
      <c r="U195" s="974">
        <f>+U163-'[2]Contingency'!T162</f>
        <v>0</v>
      </c>
      <c r="V195" s="974">
        <f>+V163-'[2]Contingency'!U162</f>
        <v>0</v>
      </c>
      <c r="W195" s="975">
        <f>+W163-'[2]Contingency'!V162</f>
        <v>0</v>
      </c>
      <c r="X195" s="567" t="e">
        <f>+X163-'[2]Contingency'!W162</f>
        <v>#REF!</v>
      </c>
      <c r="Y195" s="974">
        <f>+Y163-'[2]Contingency'!X162</f>
        <v>0</v>
      </c>
      <c r="Z195" s="974">
        <f>+Z163-'[2]Contingency'!Y162</f>
        <v>0</v>
      </c>
      <c r="AA195" s="971">
        <f>+AA163-'[2]Contingency'!Z162</f>
        <v>0</v>
      </c>
      <c r="AB195" s="971">
        <f>+AB163-'[2]Contingency'!AA162</f>
        <v>0</v>
      </c>
      <c r="AC195" s="971"/>
      <c r="AD195" s="975">
        <f>+AD163-'[2]Contingency'!AB162</f>
        <v>0</v>
      </c>
      <c r="AE195" s="547">
        <f>+AE163-'[2]Contingency'!AC162</f>
        <v>0</v>
      </c>
      <c r="AF195" s="567"/>
      <c r="AG195" s="567"/>
      <c r="AI195" s="567"/>
      <c r="AJ195" s="567"/>
      <c r="AK195" s="567"/>
      <c r="AL195" s="567"/>
      <c r="AM195" s="567"/>
      <c r="AN195" s="976">
        <f>+AN163-'[2]Contingency'!AD162</f>
        <v>0</v>
      </c>
      <c r="AO195" s="977">
        <f>+AO163-'[2]Contingency'!AE162</f>
        <v>0</v>
      </c>
      <c r="AP195" s="977">
        <f>+AP163-'[2]Contingency'!AF162</f>
        <v>0</v>
      </c>
      <c r="AQ195" s="567">
        <f>+AQ163-'[2]Contingency'!AG162</f>
        <v>0</v>
      </c>
      <c r="AR195" s="974">
        <f>+AR163-'[2]Contingency'!AH162</f>
        <v>0</v>
      </c>
    </row>
    <row r="196" spans="1:44" ht="36">
      <c r="A196" s="972"/>
      <c r="B196" s="973" t="s">
        <v>613</v>
      </c>
      <c r="J196" s="974">
        <f>+J164-'[2]Contingency'!I163</f>
        <v>0</v>
      </c>
      <c r="K196" s="974">
        <f>+K164-'[2]Contingency'!J163</f>
        <v>0</v>
      </c>
      <c r="L196" s="975">
        <f>+L164-'[2]Contingency'!K163</f>
        <v>0</v>
      </c>
      <c r="M196" s="567">
        <f>+M164-'[2]Contingency'!L163</f>
        <v>0</v>
      </c>
      <c r="N196" s="974">
        <f>+N164-'[2]Contingency'!M163</f>
        <v>0</v>
      </c>
      <c r="O196" s="974">
        <f>+O164-'[2]Contingency'!N163</f>
        <v>0</v>
      </c>
      <c r="P196" s="974">
        <f>+P164-'[2]Contingency'!O163</f>
        <v>0</v>
      </c>
      <c r="Q196" s="975">
        <f>+Q164-'[2]Contingency'!P163</f>
        <v>0</v>
      </c>
      <c r="R196" s="567" t="e">
        <f>+R164-'[2]Contingency'!Q163</f>
        <v>#REF!</v>
      </c>
      <c r="S196" s="974">
        <f>+S164-'[2]Contingency'!R163</f>
        <v>0</v>
      </c>
      <c r="T196" s="974">
        <f>+T164-'[2]Contingency'!S163</f>
        <v>0</v>
      </c>
      <c r="U196" s="974">
        <f>+U164-'[2]Contingency'!T163</f>
        <v>0</v>
      </c>
      <c r="V196" s="974">
        <f>+V164-'[2]Contingency'!U163</f>
        <v>0</v>
      </c>
      <c r="W196" s="975">
        <f>+W164-'[2]Contingency'!V163</f>
        <v>0</v>
      </c>
      <c r="X196" s="567" t="e">
        <f>+X164-'[2]Contingency'!W163</f>
        <v>#REF!</v>
      </c>
      <c r="Y196" s="974">
        <f>+Y164-'[2]Contingency'!X163</f>
        <v>0</v>
      </c>
      <c r="Z196" s="974">
        <f>+Z164-'[2]Contingency'!Y163</f>
        <v>0</v>
      </c>
      <c r="AA196" s="971">
        <f>+AA164-'[2]Contingency'!Z163</f>
        <v>0</v>
      </c>
      <c r="AB196" s="971">
        <f>+AB164-'[2]Contingency'!AA163</f>
        <v>0</v>
      </c>
      <c r="AC196" s="971"/>
      <c r="AD196" s="975">
        <f>+AD164-'[2]Contingency'!AB163</f>
        <v>0</v>
      </c>
      <c r="AE196" s="547">
        <f>+AE164-'[2]Contingency'!AC163</f>
        <v>0</v>
      </c>
      <c r="AF196" s="567"/>
      <c r="AG196" s="567"/>
      <c r="AI196" s="567"/>
      <c r="AJ196" s="567"/>
      <c r="AK196" s="567"/>
      <c r="AL196" s="567"/>
      <c r="AM196" s="567"/>
      <c r="AN196" s="976">
        <f>+AN164-'[2]Contingency'!AD163</f>
        <v>0</v>
      </c>
      <c r="AO196" s="977">
        <f>+AO164-'[2]Contingency'!AE163</f>
        <v>0</v>
      </c>
      <c r="AP196" s="977">
        <f>+AP164-'[2]Contingency'!AF163</f>
        <v>0</v>
      </c>
      <c r="AQ196" s="567">
        <f>+AQ164-'[2]Contingency'!AG163</f>
        <v>0</v>
      </c>
      <c r="AR196" s="974">
        <f>+AR164-'[2]Contingency'!AH163</f>
        <v>0</v>
      </c>
    </row>
    <row r="197" spans="1:44" ht="20.25">
      <c r="A197" s="972"/>
      <c r="B197" s="973" t="s">
        <v>614</v>
      </c>
      <c r="J197" s="974">
        <f>+J165-'[2]Contingency'!I164</f>
        <v>0</v>
      </c>
      <c r="K197" s="974">
        <f>+K165-'[2]Contingency'!J164</f>
        <v>0</v>
      </c>
      <c r="L197" s="975">
        <f>+L165-'[2]Contingency'!K164</f>
        <v>0</v>
      </c>
      <c r="M197" s="567">
        <f>+M165-'[2]Contingency'!L164</f>
        <v>0</v>
      </c>
      <c r="N197" s="974">
        <f>+N165-'[2]Contingency'!M164</f>
        <v>0</v>
      </c>
      <c r="O197" s="974">
        <f>+O165-'[2]Contingency'!N164</f>
        <v>0</v>
      </c>
      <c r="P197" s="974">
        <f>+P165-'[2]Contingency'!O164</f>
        <v>0</v>
      </c>
      <c r="Q197" s="975">
        <f>+Q165-'[2]Contingency'!P164</f>
        <v>0</v>
      </c>
      <c r="R197" s="567" t="e">
        <f>+R165-'[2]Contingency'!Q164</f>
        <v>#REF!</v>
      </c>
      <c r="S197" s="974">
        <f>+S165-'[2]Contingency'!R164</f>
        <v>0</v>
      </c>
      <c r="T197" s="974">
        <f>+T165-'[2]Contingency'!S164</f>
        <v>0</v>
      </c>
      <c r="U197" s="974">
        <f>+U165-'[2]Contingency'!T164</f>
        <v>0</v>
      </c>
      <c r="V197" s="974">
        <f>+V165-'[2]Contingency'!U164</f>
        <v>0</v>
      </c>
      <c r="W197" s="975">
        <f>+W165-'[2]Contingency'!V164</f>
        <v>0</v>
      </c>
      <c r="X197" s="567" t="e">
        <f>+X165-'[2]Contingency'!W164</f>
        <v>#REF!</v>
      </c>
      <c r="Y197" s="974">
        <f>+Y165-'[2]Contingency'!X164</f>
        <v>0</v>
      </c>
      <c r="Z197" s="974">
        <f>+Z165-'[2]Contingency'!Y164</f>
        <v>0</v>
      </c>
      <c r="AA197" s="971">
        <f>+AA165-'[2]Contingency'!Z164</f>
        <v>0</v>
      </c>
      <c r="AB197" s="971">
        <f>+AB165-'[2]Contingency'!AA164</f>
        <v>0</v>
      </c>
      <c r="AC197" s="971"/>
      <c r="AD197" s="975">
        <f>+AD165-'[2]Contingency'!AB164</f>
        <v>0</v>
      </c>
      <c r="AE197" s="547">
        <f>+AE165-'[2]Contingency'!AC164</f>
        <v>0</v>
      </c>
      <c r="AF197" s="567"/>
      <c r="AG197" s="567"/>
      <c r="AI197" s="567"/>
      <c r="AJ197" s="567"/>
      <c r="AK197" s="567"/>
      <c r="AL197" s="567"/>
      <c r="AM197" s="567"/>
      <c r="AN197" s="976">
        <f>+AN165-'[2]Contingency'!AD164</f>
        <v>0</v>
      </c>
      <c r="AO197" s="977">
        <f>+AO165-'[2]Contingency'!AE164</f>
        <v>0</v>
      </c>
      <c r="AP197" s="977">
        <f>+AP165-'[2]Contingency'!AF164</f>
        <v>0</v>
      </c>
      <c r="AQ197" s="567">
        <f>+AQ165-'[2]Contingency'!AG164</f>
        <v>0</v>
      </c>
      <c r="AR197" s="974">
        <f>+AR165-'[2]Contingency'!AH164</f>
        <v>0</v>
      </c>
    </row>
    <row r="198" spans="1:44" ht="20.25">
      <c r="A198" s="972"/>
      <c r="B198" s="973" t="s">
        <v>615</v>
      </c>
      <c r="J198" s="974">
        <f>+J166-'[2]Contingency'!I165</f>
        <v>0</v>
      </c>
      <c r="K198" s="974">
        <f>+K166-'[2]Contingency'!J165</f>
        <v>0</v>
      </c>
      <c r="L198" s="975">
        <f>+L166-'[2]Contingency'!K165</f>
        <v>0</v>
      </c>
      <c r="M198" s="567">
        <f>+M166-'[2]Contingency'!L165</f>
        <v>0</v>
      </c>
      <c r="N198" s="974">
        <f>+N166-'[2]Contingency'!M165</f>
        <v>0</v>
      </c>
      <c r="O198" s="974">
        <f>+O166-'[2]Contingency'!N165</f>
        <v>0</v>
      </c>
      <c r="P198" s="974">
        <f>+P166-'[2]Contingency'!O165</f>
        <v>0</v>
      </c>
      <c r="Q198" s="975">
        <f>+Q166-'[2]Contingency'!P165</f>
        <v>0</v>
      </c>
      <c r="R198" s="567">
        <f>+R166-'[2]Contingency'!Q165</f>
        <v>0</v>
      </c>
      <c r="S198" s="974">
        <f>+S166-'[2]Contingency'!R165</f>
        <v>0</v>
      </c>
      <c r="T198" s="974">
        <f>+T166-'[2]Contingency'!S165</f>
        <v>0</v>
      </c>
      <c r="U198" s="974">
        <f>+U166-'[2]Contingency'!T165</f>
        <v>0</v>
      </c>
      <c r="V198" s="974">
        <f>+V166-'[2]Contingency'!U165</f>
        <v>0</v>
      </c>
      <c r="W198" s="975">
        <f>+W166-'[2]Contingency'!V165</f>
        <v>0</v>
      </c>
      <c r="X198" s="567" t="e">
        <f>+X166-'[2]Contingency'!W165</f>
        <v>#REF!</v>
      </c>
      <c r="Y198" s="974">
        <f>+Y166-'[2]Contingency'!X165</f>
        <v>0</v>
      </c>
      <c r="Z198" s="974">
        <f>+Z166-'[2]Contingency'!Y165</f>
        <v>0</v>
      </c>
      <c r="AA198" s="971">
        <f>+AA166-'[2]Contingency'!Z165</f>
        <v>0</v>
      </c>
      <c r="AB198" s="971">
        <f>+AB166-'[2]Contingency'!AA165</f>
        <v>0</v>
      </c>
      <c r="AC198" s="971"/>
      <c r="AD198" s="975">
        <f>+AD166-'[2]Contingency'!AB165</f>
        <v>0</v>
      </c>
      <c r="AE198" s="547">
        <f>+AE166-'[2]Contingency'!AC165</f>
        <v>0</v>
      </c>
      <c r="AF198" s="567"/>
      <c r="AG198" s="567"/>
      <c r="AI198" s="567"/>
      <c r="AJ198" s="567"/>
      <c r="AK198" s="567"/>
      <c r="AL198" s="567"/>
      <c r="AM198" s="567"/>
      <c r="AN198" s="976">
        <f>+AN166-'[2]Contingency'!AD165</f>
        <v>0</v>
      </c>
      <c r="AO198" s="977">
        <f>+AO166-'[2]Contingency'!AE165</f>
        <v>0</v>
      </c>
      <c r="AP198" s="977">
        <f>+AP166-'[2]Contingency'!AF165</f>
        <v>0</v>
      </c>
      <c r="AQ198" s="567">
        <f>+AQ166-'[2]Contingency'!AG165</f>
        <v>0</v>
      </c>
      <c r="AR198" s="974">
        <f>+AR166-'[2]Contingency'!AH165</f>
        <v>0</v>
      </c>
    </row>
    <row r="199" spans="1:44" ht="20.25">
      <c r="A199" s="972"/>
      <c r="B199" s="973" t="s">
        <v>616</v>
      </c>
      <c r="J199" s="974">
        <f>+J167-'[2]Contingency'!I166</f>
        <v>0</v>
      </c>
      <c r="K199" s="974">
        <f>+K167-'[2]Contingency'!J166</f>
        <v>0</v>
      </c>
      <c r="L199" s="975">
        <f>+L167-'[2]Contingency'!K166</f>
        <v>0</v>
      </c>
      <c r="M199" s="567">
        <f>+M167-'[2]Contingency'!L166</f>
        <v>0</v>
      </c>
      <c r="N199" s="974">
        <f>+N167-'[2]Contingency'!M166</f>
        <v>0</v>
      </c>
      <c r="O199" s="974">
        <f>+O167-'[2]Contingency'!N166</f>
        <v>0</v>
      </c>
      <c r="P199" s="974">
        <f>+P167-'[2]Contingency'!O166</f>
        <v>0</v>
      </c>
      <c r="Q199" s="975">
        <f>+Q167-'[2]Contingency'!P166</f>
        <v>0</v>
      </c>
      <c r="R199" s="567">
        <f>+R167-'[2]Contingency'!Q166</f>
        <v>0</v>
      </c>
      <c r="S199" s="974">
        <f>+S167-'[2]Contingency'!R166</f>
        <v>0</v>
      </c>
      <c r="T199" s="974">
        <f>+T167-'[2]Contingency'!S166</f>
        <v>0</v>
      </c>
      <c r="U199" s="974">
        <f>+U167-'[2]Contingency'!T166</f>
        <v>0</v>
      </c>
      <c r="V199" s="974">
        <f>+V167-'[2]Contingency'!U166</f>
        <v>0</v>
      </c>
      <c r="W199" s="975">
        <f>+W167-'[2]Contingency'!V166</f>
        <v>0</v>
      </c>
      <c r="X199" s="567">
        <f>+X167-'[2]Contingency'!W166</f>
        <v>0</v>
      </c>
      <c r="Y199" s="974">
        <f>+Y167-'[2]Contingency'!X166</f>
        <v>0</v>
      </c>
      <c r="Z199" s="974">
        <f>+Z167-'[2]Contingency'!Y166</f>
        <v>0</v>
      </c>
      <c r="AA199" s="971">
        <f>+AA167-'[2]Contingency'!Z166</f>
        <v>0</v>
      </c>
      <c r="AB199" s="971">
        <f>+AB167-'[2]Contingency'!AA166</f>
        <v>0</v>
      </c>
      <c r="AC199" s="971"/>
      <c r="AD199" s="975">
        <f>+AD167-'[2]Contingency'!AB166</f>
        <v>0</v>
      </c>
      <c r="AE199" s="547">
        <f>+AE167-'[2]Contingency'!AC166</f>
        <v>0</v>
      </c>
      <c r="AF199" s="567"/>
      <c r="AG199" s="567"/>
      <c r="AI199" s="567"/>
      <c r="AJ199" s="567"/>
      <c r="AK199" s="567"/>
      <c r="AL199" s="567"/>
      <c r="AM199" s="567"/>
      <c r="AN199" s="976">
        <f>+AN167-'[2]Contingency'!AD166</f>
        <v>0</v>
      </c>
      <c r="AO199" s="977">
        <f>+AO167-'[2]Contingency'!AE166</f>
        <v>0</v>
      </c>
      <c r="AP199" s="977">
        <f>+AP167-'[2]Contingency'!AF166</f>
        <v>0</v>
      </c>
      <c r="AQ199" s="567">
        <f>+AQ167-'[2]Contingency'!AG166</f>
        <v>0</v>
      </c>
      <c r="AR199" s="974">
        <f>+AR167-'[2]Contingency'!AH166</f>
        <v>0</v>
      </c>
    </row>
    <row r="200" spans="1:44" ht="20.25">
      <c r="A200" s="972"/>
      <c r="B200" s="973" t="s">
        <v>617</v>
      </c>
      <c r="J200" s="974">
        <f>+J168-'[2]Contingency'!I167</f>
        <v>0</v>
      </c>
      <c r="K200" s="974">
        <f>+K168-'[2]Contingency'!J167</f>
        <v>0</v>
      </c>
      <c r="L200" s="975">
        <f>+L168-'[2]Contingency'!K167</f>
        <v>0</v>
      </c>
      <c r="M200" s="567">
        <f>+M168-'[2]Contingency'!L167</f>
        <v>0</v>
      </c>
      <c r="N200" s="974">
        <f>+N168-'[2]Contingency'!M167</f>
        <v>0</v>
      </c>
      <c r="O200" s="974">
        <f>+O168-'[2]Contingency'!N167</f>
        <v>0</v>
      </c>
      <c r="P200" s="974">
        <f>+P168-'[2]Contingency'!O167</f>
        <v>0</v>
      </c>
      <c r="Q200" s="975">
        <f>+Q168-'[2]Contingency'!P167</f>
        <v>0</v>
      </c>
      <c r="R200" s="567">
        <f>+R168-'[2]Contingency'!Q167</f>
        <v>0</v>
      </c>
      <c r="S200" s="974">
        <f>+S168-'[2]Contingency'!R167</f>
        <v>0</v>
      </c>
      <c r="T200" s="974">
        <f>+T168-'[2]Contingency'!S167</f>
        <v>0</v>
      </c>
      <c r="U200" s="974">
        <f>+U168-'[2]Contingency'!T167</f>
        <v>0</v>
      </c>
      <c r="V200" s="974">
        <f>+V168-'[2]Contingency'!U167</f>
        <v>0</v>
      </c>
      <c r="W200" s="975">
        <f>+W168-'[2]Contingency'!V167</f>
        <v>0</v>
      </c>
      <c r="X200" s="567">
        <f>+X168-'[2]Contingency'!W167</f>
        <v>0</v>
      </c>
      <c r="Y200" s="974">
        <f>+Y168-'[2]Contingency'!X167</f>
        <v>0</v>
      </c>
      <c r="Z200" s="974">
        <f>+Z168-'[2]Contingency'!Y167</f>
        <v>0</v>
      </c>
      <c r="AA200" s="971">
        <f>+AA168-'[2]Contingency'!Z167</f>
        <v>0</v>
      </c>
      <c r="AB200" s="971">
        <f>+AB168-'[2]Contingency'!AA167</f>
        <v>0</v>
      </c>
      <c r="AC200" s="971"/>
      <c r="AD200" s="975">
        <f>+AD168-'[2]Contingency'!AB167</f>
        <v>0</v>
      </c>
      <c r="AE200" s="547">
        <f>+AE168-'[2]Contingency'!AC167</f>
        <v>0</v>
      </c>
      <c r="AF200" s="567"/>
      <c r="AG200" s="567"/>
      <c r="AI200" s="567"/>
      <c r="AJ200" s="567"/>
      <c r="AK200" s="567"/>
      <c r="AL200" s="567"/>
      <c r="AM200" s="567"/>
      <c r="AN200" s="976">
        <f>+AN168-'[2]Contingency'!AD167</f>
        <v>0</v>
      </c>
      <c r="AO200" s="977">
        <f>+AO168-'[2]Contingency'!AE167</f>
        <v>0</v>
      </c>
      <c r="AP200" s="977">
        <f>+AP168-'[2]Contingency'!AF167</f>
        <v>0</v>
      </c>
      <c r="AQ200" s="567">
        <f>+AQ168-'[2]Contingency'!AG167</f>
        <v>0</v>
      </c>
      <c r="AR200" s="974">
        <f>+AR168-'[2]Contingency'!AH167</f>
        <v>0</v>
      </c>
    </row>
    <row r="201" spans="1:44" ht="20.25">
      <c r="A201" s="972"/>
      <c r="B201" s="973" t="s">
        <v>618</v>
      </c>
      <c r="J201" s="974">
        <f>+J169-'[2]Contingency'!I168</f>
        <v>0</v>
      </c>
      <c r="K201" s="974">
        <f>+K169-'[2]Contingency'!J168</f>
        <v>0</v>
      </c>
      <c r="L201" s="975">
        <f>+L169-'[2]Contingency'!K168</f>
        <v>0</v>
      </c>
      <c r="M201" s="567">
        <f>+M169-'[2]Contingency'!L168</f>
        <v>0</v>
      </c>
      <c r="N201" s="974">
        <f>+N169-'[2]Contingency'!M168</f>
        <v>0</v>
      </c>
      <c r="O201" s="974">
        <f>+O169-'[2]Contingency'!N168</f>
        <v>0</v>
      </c>
      <c r="P201" s="974">
        <f>+P169-'[2]Contingency'!O168</f>
        <v>0</v>
      </c>
      <c r="Q201" s="975">
        <f>+Q169-'[2]Contingency'!P168</f>
        <v>0</v>
      </c>
      <c r="R201" s="567">
        <f>+R169-'[2]Contingency'!Q168</f>
        <v>0</v>
      </c>
      <c r="S201" s="974">
        <f>+S169-'[2]Contingency'!R168</f>
        <v>0</v>
      </c>
      <c r="T201" s="974">
        <f>+T169-'[2]Contingency'!S168</f>
        <v>0</v>
      </c>
      <c r="U201" s="974">
        <f>+U169-'[2]Contingency'!T168</f>
        <v>0</v>
      </c>
      <c r="V201" s="974">
        <f>+V169-'[2]Contingency'!U168</f>
        <v>0</v>
      </c>
      <c r="W201" s="975">
        <f>+W169-'[2]Contingency'!V168</f>
        <v>0</v>
      </c>
      <c r="X201" s="567">
        <f>+X169-'[2]Contingency'!W168</f>
        <v>0</v>
      </c>
      <c r="Y201" s="974">
        <f>+Y169-'[2]Contingency'!X168</f>
        <v>0</v>
      </c>
      <c r="Z201" s="974">
        <f>+Z169-'[2]Contingency'!Y168</f>
        <v>0</v>
      </c>
      <c r="AA201" s="971">
        <f>+AA169-'[2]Contingency'!Z168</f>
        <v>0</v>
      </c>
      <c r="AB201" s="971">
        <f>+AB169-'[2]Contingency'!AA168</f>
        <v>0</v>
      </c>
      <c r="AC201" s="971"/>
      <c r="AD201" s="975">
        <f>+AD169-'[2]Contingency'!AB168</f>
        <v>0</v>
      </c>
      <c r="AE201" s="547">
        <f>+AE169-'[2]Contingency'!AC168</f>
        <v>0</v>
      </c>
      <c r="AF201" s="567"/>
      <c r="AG201" s="567"/>
      <c r="AI201" s="567"/>
      <c r="AJ201" s="567"/>
      <c r="AK201" s="567"/>
      <c r="AL201" s="567"/>
      <c r="AM201" s="567"/>
      <c r="AN201" s="976">
        <f>+AN169-'[2]Contingency'!AD168</f>
        <v>0</v>
      </c>
      <c r="AO201" s="977">
        <f>+AO169-'[2]Contingency'!AE168</f>
        <v>0</v>
      </c>
      <c r="AP201" s="977">
        <f>+AP169-'[2]Contingency'!AF168</f>
        <v>0</v>
      </c>
      <c r="AQ201" s="567">
        <f>+AQ169-'[2]Contingency'!AG168</f>
        <v>0</v>
      </c>
      <c r="AR201" s="974">
        <f>+AR169-'[2]Contingency'!AH168</f>
        <v>0</v>
      </c>
    </row>
    <row r="202" spans="1:44" ht="20.25">
      <c r="A202" s="972"/>
      <c r="B202" s="973" t="s">
        <v>619</v>
      </c>
      <c r="J202" s="974">
        <f>+J170-'[2]Contingency'!I169</f>
        <v>0</v>
      </c>
      <c r="K202" s="974">
        <f>+K170-'[2]Contingency'!J169</f>
        <v>0</v>
      </c>
      <c r="L202" s="975">
        <f>+L170-'[2]Contingency'!K169</f>
        <v>0</v>
      </c>
      <c r="M202" s="567">
        <f>+M170-'[2]Contingency'!L169</f>
        <v>0</v>
      </c>
      <c r="N202" s="974">
        <f>+N170-'[2]Contingency'!M169</f>
        <v>0</v>
      </c>
      <c r="O202" s="974">
        <f>+O170-'[2]Contingency'!N169</f>
        <v>0</v>
      </c>
      <c r="P202" s="974">
        <f>+P170-'[2]Contingency'!O169</f>
        <v>0</v>
      </c>
      <c r="Q202" s="975">
        <f>+Q170-'[2]Contingency'!P169</f>
        <v>0</v>
      </c>
      <c r="R202" s="567">
        <f>+R170-'[2]Contingency'!Q169</f>
        <v>0</v>
      </c>
      <c r="S202" s="974">
        <f>+S170-'[2]Contingency'!R169</f>
        <v>0</v>
      </c>
      <c r="T202" s="974">
        <f>+T170-'[2]Contingency'!S169</f>
        <v>0</v>
      </c>
      <c r="U202" s="974">
        <f>+U170-'[2]Contingency'!T169</f>
        <v>0</v>
      </c>
      <c r="V202" s="974">
        <f>+V170-'[2]Contingency'!U169</f>
        <v>0</v>
      </c>
      <c r="W202" s="975">
        <f>+W170-'[2]Contingency'!V169</f>
        <v>0</v>
      </c>
      <c r="X202" s="567">
        <f>+X170-'[2]Contingency'!W169</f>
        <v>0</v>
      </c>
      <c r="Y202" s="974">
        <f>+Y170-'[2]Contingency'!X169</f>
        <v>0</v>
      </c>
      <c r="Z202" s="974">
        <f>+Z170-'[2]Contingency'!Y169</f>
        <v>0</v>
      </c>
      <c r="AA202" s="971">
        <f>+AA170-'[2]Contingency'!Z169</f>
        <v>0</v>
      </c>
      <c r="AB202" s="971">
        <f>+AB170-'[2]Contingency'!AA169</f>
        <v>0</v>
      </c>
      <c r="AC202" s="971"/>
      <c r="AD202" s="975">
        <f>+AD170-'[2]Contingency'!AB169</f>
        <v>0</v>
      </c>
      <c r="AE202" s="547">
        <f>+AE170-'[2]Contingency'!AC169</f>
        <v>0</v>
      </c>
      <c r="AF202" s="567"/>
      <c r="AG202" s="567"/>
      <c r="AI202" s="567"/>
      <c r="AJ202" s="567"/>
      <c r="AK202" s="567"/>
      <c r="AL202" s="567"/>
      <c r="AM202" s="567"/>
      <c r="AN202" s="976">
        <f>+AN170-'[2]Contingency'!AD169</f>
        <v>0</v>
      </c>
      <c r="AO202" s="977">
        <f>+AO170-'[2]Contingency'!AE169</f>
        <v>0</v>
      </c>
      <c r="AP202" s="977">
        <f>+AP170-'[2]Contingency'!AF169</f>
        <v>0</v>
      </c>
      <c r="AQ202" s="567">
        <f>+AQ170-'[2]Contingency'!AG169</f>
        <v>0</v>
      </c>
      <c r="AR202" s="974">
        <f>+AR170-'[2]Contingency'!AH169</f>
        <v>0</v>
      </c>
    </row>
    <row r="203" spans="1:44" ht="20.25">
      <c r="A203" s="972"/>
      <c r="B203" s="973" t="s">
        <v>620</v>
      </c>
      <c r="J203" s="974">
        <f>+J171-'[2]Contingency'!I170</f>
        <v>0</v>
      </c>
      <c r="K203" s="974">
        <f>+K171-'[2]Contingency'!J170</f>
        <v>0</v>
      </c>
      <c r="L203" s="975">
        <f>+L171-'[2]Contingency'!K170</f>
        <v>0</v>
      </c>
      <c r="M203" s="567" t="e">
        <f>+M171-'[2]Contingency'!L170</f>
        <v>#REF!</v>
      </c>
      <c r="N203" s="974">
        <f>+N171-'[2]Contingency'!M170</f>
        <v>0</v>
      </c>
      <c r="O203" s="974">
        <f>+O171-'[2]Contingency'!N170</f>
        <v>0</v>
      </c>
      <c r="P203" s="974">
        <f>+P171-'[2]Contingency'!O170</f>
        <v>0</v>
      </c>
      <c r="Q203" s="975">
        <f>+Q171-'[2]Contingency'!P170</f>
        <v>0</v>
      </c>
      <c r="R203" s="567">
        <f>+R171-'[2]Contingency'!Q170</f>
        <v>0</v>
      </c>
      <c r="S203" s="974">
        <f>+S171-'[2]Contingency'!R170</f>
        <v>0</v>
      </c>
      <c r="T203" s="974">
        <f>+T171-'[2]Contingency'!S170</f>
        <v>0</v>
      </c>
      <c r="U203" s="974">
        <f>+U171-'[2]Contingency'!T170</f>
        <v>0</v>
      </c>
      <c r="V203" s="974">
        <f>+V171-'[2]Contingency'!U170</f>
        <v>0</v>
      </c>
      <c r="W203" s="975">
        <f>+W171-'[2]Contingency'!V170</f>
        <v>0</v>
      </c>
      <c r="X203" s="567">
        <f>+X171-'[2]Contingency'!W170</f>
        <v>0</v>
      </c>
      <c r="Y203" s="974">
        <f>+Y171-'[2]Contingency'!X170</f>
        <v>0</v>
      </c>
      <c r="Z203" s="974">
        <f>+Z171-'[2]Contingency'!Y170</f>
        <v>0</v>
      </c>
      <c r="AA203" s="971">
        <f>+AA171-'[2]Contingency'!Z170</f>
        <v>0</v>
      </c>
      <c r="AB203" s="971">
        <f>+AB171-'[2]Contingency'!AA170</f>
        <v>0</v>
      </c>
      <c r="AC203" s="971"/>
      <c r="AD203" s="975">
        <f>+AD171-'[2]Contingency'!AB170</f>
        <v>0</v>
      </c>
      <c r="AE203" s="547">
        <f>+AE171-'[2]Contingency'!AC170</f>
        <v>0</v>
      </c>
      <c r="AF203" s="567"/>
      <c r="AG203" s="567"/>
      <c r="AI203" s="567"/>
      <c r="AJ203" s="567"/>
      <c r="AK203" s="567"/>
      <c r="AL203" s="567"/>
      <c r="AM203" s="567"/>
      <c r="AN203" s="976">
        <f>+AN171-'[2]Contingency'!AD170</f>
        <v>0</v>
      </c>
      <c r="AO203" s="977">
        <f>+AO171-'[2]Contingency'!AE170</f>
        <v>0</v>
      </c>
      <c r="AP203" s="977">
        <f>+AP171-'[2]Contingency'!AF170</f>
        <v>0</v>
      </c>
      <c r="AQ203" s="567">
        <f>+AQ171-'[2]Contingency'!AG170</f>
        <v>0</v>
      </c>
      <c r="AR203" s="974">
        <f>+AR171-'[2]Contingency'!AH170</f>
        <v>0</v>
      </c>
    </row>
    <row r="204" spans="1:44" ht="20.25">
      <c r="A204" s="979" t="s">
        <v>621</v>
      </c>
      <c r="B204" s="968"/>
      <c r="C204" s="969"/>
      <c r="D204" s="969"/>
      <c r="E204" s="969"/>
      <c r="F204" s="969"/>
      <c r="G204" s="969"/>
      <c r="H204" s="969"/>
      <c r="I204" s="969"/>
      <c r="J204" s="970">
        <f>+J172-'[2]Contingency'!I171</f>
        <v>0</v>
      </c>
      <c r="K204" s="970">
        <f>+K172-'[2]Contingency'!J171</f>
        <v>0</v>
      </c>
      <c r="L204" s="970">
        <f>+L172-'[2]Contingency'!K171</f>
        <v>0</v>
      </c>
      <c r="M204" s="567">
        <f>+M172-'[2]Contingency'!L171</f>
        <v>0</v>
      </c>
      <c r="N204" s="970">
        <f>+N172-'[2]Contingency'!M171</f>
        <v>0</v>
      </c>
      <c r="O204" s="970">
        <f>+O172-'[2]Contingency'!N171</f>
        <v>0</v>
      </c>
      <c r="P204" s="970">
        <f>+P172-'[2]Contingency'!O171</f>
        <v>0</v>
      </c>
      <c r="Q204" s="970">
        <f>+Q172-'[2]Contingency'!P171</f>
        <v>0</v>
      </c>
      <c r="R204" s="567">
        <f>+R172-'[2]Contingency'!Q171</f>
        <v>0</v>
      </c>
      <c r="S204" s="970">
        <f>+S172-'[2]Contingency'!R171</f>
        <v>0</v>
      </c>
      <c r="T204" s="970">
        <f>+T172-'[2]Contingency'!S171</f>
        <v>0</v>
      </c>
      <c r="U204" s="970">
        <f>+U172-'[2]Contingency'!T171</f>
        <v>0</v>
      </c>
      <c r="V204" s="970">
        <f>+V172-'[2]Contingency'!U171</f>
        <v>0</v>
      </c>
      <c r="W204" s="970">
        <f>+W172-'[2]Contingency'!V171</f>
        <v>0</v>
      </c>
      <c r="X204" s="567">
        <f>+X172-'[2]Contingency'!W171</f>
        <v>0</v>
      </c>
      <c r="Y204" s="970">
        <f>+Y172-'[2]Contingency'!X171</f>
        <v>0</v>
      </c>
      <c r="Z204" s="970">
        <f>+Z172-'[2]Contingency'!Y171</f>
        <v>0</v>
      </c>
      <c r="AA204" s="971">
        <f>+AA172-'[2]Contingency'!Z171</f>
        <v>0</v>
      </c>
      <c r="AB204" s="971">
        <f>+AB172-'[2]Contingency'!AA171</f>
        <v>0</v>
      </c>
      <c r="AC204" s="971"/>
      <c r="AD204" s="970">
        <f>+AD172-'[2]Contingency'!AB171</f>
        <v>0</v>
      </c>
      <c r="AE204" s="547">
        <f>+AE172-'[2]Contingency'!AC171</f>
        <v>0</v>
      </c>
      <c r="AF204" s="567"/>
      <c r="AG204" s="567"/>
      <c r="AI204" s="567"/>
      <c r="AJ204" s="567"/>
      <c r="AK204" s="567"/>
      <c r="AL204" s="567"/>
      <c r="AM204" s="567"/>
      <c r="AN204" s="970">
        <f>+AN172-'[2]Contingency'!AD171</f>
        <v>0</v>
      </c>
      <c r="AO204" s="970">
        <f>+AO172-'[2]Contingency'!AE171</f>
        <v>0</v>
      </c>
      <c r="AP204" s="970">
        <f>+AP172-'[2]Contingency'!AF171</f>
        <v>0</v>
      </c>
      <c r="AQ204" s="567">
        <f>+AQ172-'[2]Contingency'!AG171</f>
        <v>0</v>
      </c>
      <c r="AR204" s="970">
        <f>+AR172-'[2]Contingency'!AH171</f>
        <v>0</v>
      </c>
    </row>
    <row r="205" spans="1:44" ht="20.25">
      <c r="A205" s="972"/>
      <c r="B205" s="973" t="s">
        <v>622</v>
      </c>
      <c r="J205" s="974">
        <f>+J173-'[2]Contingency'!I172</f>
        <v>0</v>
      </c>
      <c r="K205" s="974">
        <f>+K173-'[2]Contingency'!J172</f>
        <v>0</v>
      </c>
      <c r="L205" s="975">
        <f>+L173-'[2]Contingency'!K172</f>
        <v>0</v>
      </c>
      <c r="M205" s="567">
        <f>+M173-'[2]Contingency'!L172</f>
        <v>0</v>
      </c>
      <c r="N205" s="974">
        <f>+N173-'[2]Contingency'!M172</f>
        <v>0</v>
      </c>
      <c r="O205" s="974">
        <f>+O173-'[2]Contingency'!N172</f>
        <v>0</v>
      </c>
      <c r="P205" s="974">
        <f>+P173-'[2]Contingency'!O172</f>
        <v>0</v>
      </c>
      <c r="Q205" s="975">
        <f>+Q173-'[2]Contingency'!P172</f>
        <v>0</v>
      </c>
      <c r="R205" s="567">
        <f>+R173-'[2]Contingency'!Q172</f>
        <v>0</v>
      </c>
      <c r="S205" s="974">
        <f>+S173-'[2]Contingency'!R172</f>
        <v>0</v>
      </c>
      <c r="T205" s="974">
        <f>+T173-'[2]Contingency'!S172</f>
        <v>0</v>
      </c>
      <c r="U205" s="974">
        <f>+U173-'[2]Contingency'!T172</f>
        <v>0</v>
      </c>
      <c r="V205" s="974">
        <f>+V173-'[2]Contingency'!U172</f>
        <v>0</v>
      </c>
      <c r="W205" s="975">
        <f>+W173-'[2]Contingency'!V172</f>
        <v>0</v>
      </c>
      <c r="X205" s="567" t="e">
        <f>+X173-'[2]Contingency'!W172</f>
        <v>#REF!</v>
      </c>
      <c r="Y205" s="974">
        <f>+Y173-'[2]Contingency'!X172</f>
        <v>0</v>
      </c>
      <c r="Z205" s="974">
        <f>+Z173-'[2]Contingency'!Y172</f>
        <v>0</v>
      </c>
      <c r="AA205" s="971">
        <f>+AA173-'[2]Contingency'!Z172</f>
        <v>0</v>
      </c>
      <c r="AB205" s="971">
        <f>+AB173-'[2]Contingency'!AA172</f>
        <v>0</v>
      </c>
      <c r="AC205" s="971"/>
      <c r="AD205" s="975">
        <f>+AD173-'[2]Contingency'!AB172</f>
        <v>0</v>
      </c>
      <c r="AE205" s="547">
        <f>+AE173-'[2]Contingency'!AC172</f>
        <v>0</v>
      </c>
      <c r="AF205" s="567"/>
      <c r="AG205" s="567"/>
      <c r="AI205" s="567"/>
      <c r="AJ205" s="567"/>
      <c r="AK205" s="567"/>
      <c r="AL205" s="567"/>
      <c r="AM205" s="567"/>
      <c r="AN205" s="976">
        <f>+AN173-'[2]Contingency'!AD172</f>
        <v>0</v>
      </c>
      <c r="AO205" s="977">
        <f>+AO173-'[2]Contingency'!AE172</f>
        <v>0</v>
      </c>
      <c r="AP205" s="977">
        <f>+AP173-'[2]Contingency'!AF172</f>
        <v>0</v>
      </c>
      <c r="AQ205" s="567">
        <f>+AQ173-'[2]Contingency'!AG172</f>
        <v>0</v>
      </c>
      <c r="AR205" s="974">
        <f>+AR173-'[2]Contingency'!AH172</f>
        <v>0</v>
      </c>
    </row>
    <row r="206" spans="1:44" ht="20.25">
      <c r="A206" s="972"/>
      <c r="B206" s="973" t="s">
        <v>623</v>
      </c>
      <c r="J206" s="974">
        <f>+J174-'[2]Contingency'!I173</f>
        <v>0</v>
      </c>
      <c r="K206" s="974">
        <f>+K174-'[2]Contingency'!J173</f>
        <v>0</v>
      </c>
      <c r="L206" s="975">
        <f>+L174-'[2]Contingency'!K173</f>
        <v>0</v>
      </c>
      <c r="M206" s="567">
        <f>+M174-'[2]Contingency'!L173</f>
        <v>0</v>
      </c>
      <c r="N206" s="974">
        <f>+N174-'[2]Contingency'!M173</f>
        <v>0</v>
      </c>
      <c r="O206" s="974">
        <f>+O174-'[2]Contingency'!N173</f>
        <v>0</v>
      </c>
      <c r="P206" s="974">
        <f>+P174-'[2]Contingency'!O173</f>
        <v>0</v>
      </c>
      <c r="Q206" s="975">
        <f>+Q174-'[2]Contingency'!P173</f>
        <v>0</v>
      </c>
      <c r="R206" s="567" t="e">
        <f>+R174-'[2]Contingency'!Q173</f>
        <v>#REF!</v>
      </c>
      <c r="S206" s="974">
        <f>+S174-'[2]Contingency'!R173</f>
        <v>0</v>
      </c>
      <c r="T206" s="974">
        <f>+T174-'[2]Contingency'!S173</f>
        <v>0</v>
      </c>
      <c r="U206" s="974">
        <f>+U174-'[2]Contingency'!T173</f>
        <v>0</v>
      </c>
      <c r="V206" s="974">
        <f>+V174-'[2]Contingency'!U173</f>
        <v>0</v>
      </c>
      <c r="W206" s="975">
        <f>+W174-'[2]Contingency'!V173</f>
        <v>0</v>
      </c>
      <c r="X206" s="567" t="e">
        <f>+X174-'[2]Contingency'!W173</f>
        <v>#REF!</v>
      </c>
      <c r="Y206" s="974">
        <f>+Y174-'[2]Contingency'!X173</f>
        <v>0</v>
      </c>
      <c r="Z206" s="974">
        <f>+Z174-'[2]Contingency'!Y173</f>
        <v>0</v>
      </c>
      <c r="AA206" s="971">
        <f>+AA174-'[2]Contingency'!Z173</f>
        <v>0</v>
      </c>
      <c r="AB206" s="971">
        <f>+AB174-'[2]Contingency'!AA173</f>
        <v>0</v>
      </c>
      <c r="AC206" s="971"/>
      <c r="AD206" s="975">
        <f>+AD174-'[2]Contingency'!AB173</f>
        <v>0</v>
      </c>
      <c r="AE206" s="547">
        <f>+AE174-'[2]Contingency'!AC173</f>
        <v>0</v>
      </c>
      <c r="AF206" s="567"/>
      <c r="AG206" s="567"/>
      <c r="AI206" s="567"/>
      <c r="AJ206" s="567"/>
      <c r="AK206" s="567"/>
      <c r="AL206" s="567"/>
      <c r="AM206" s="567"/>
      <c r="AN206" s="976">
        <f>+AN174-'[2]Contingency'!AD173</f>
        <v>0</v>
      </c>
      <c r="AO206" s="977">
        <f>+AO174-'[2]Contingency'!AE173</f>
        <v>0</v>
      </c>
      <c r="AP206" s="977">
        <f>+AP174-'[2]Contingency'!AF173</f>
        <v>0</v>
      </c>
      <c r="AQ206" s="567">
        <f>+AQ174-'[2]Contingency'!AG173</f>
        <v>0</v>
      </c>
      <c r="AR206" s="974">
        <f>+AR174-'[2]Contingency'!AH173</f>
        <v>0</v>
      </c>
    </row>
    <row r="207" spans="1:44" ht="20.25">
      <c r="A207" s="972"/>
      <c r="B207" s="973" t="s">
        <v>624</v>
      </c>
      <c r="J207" s="974">
        <f>+J175-'[2]Contingency'!I174</f>
        <v>0</v>
      </c>
      <c r="K207" s="974">
        <f>+K175-'[2]Contingency'!J174</f>
        <v>0</v>
      </c>
      <c r="L207" s="975">
        <f>+L175-'[2]Contingency'!K174</f>
        <v>0</v>
      </c>
      <c r="M207" s="567" t="e">
        <f>+M175-'[2]Contingency'!L174</f>
        <v>#REF!</v>
      </c>
      <c r="N207" s="974">
        <f>+N175-'[2]Contingency'!M174</f>
        <v>0</v>
      </c>
      <c r="O207" s="974">
        <f>+O175-'[2]Contingency'!N174</f>
        <v>0</v>
      </c>
      <c r="P207" s="974">
        <f>+P175-'[2]Contingency'!O174</f>
        <v>0</v>
      </c>
      <c r="Q207" s="975">
        <f>+Q175-'[2]Contingency'!P174</f>
        <v>0</v>
      </c>
      <c r="R207" s="567">
        <f>+R175-'[2]Contingency'!Q174</f>
        <v>0</v>
      </c>
      <c r="S207" s="974">
        <f>+S175-'[2]Contingency'!R174</f>
        <v>0</v>
      </c>
      <c r="T207" s="974">
        <f>+T175-'[2]Contingency'!S174</f>
        <v>0</v>
      </c>
      <c r="U207" s="974">
        <f>+U175-'[2]Contingency'!T174</f>
        <v>0</v>
      </c>
      <c r="V207" s="974">
        <f>+V175-'[2]Contingency'!U174</f>
        <v>0</v>
      </c>
      <c r="W207" s="975">
        <f>+W175-'[2]Contingency'!V174</f>
        <v>0</v>
      </c>
      <c r="X207" s="567" t="e">
        <f>+X175-'[2]Contingency'!W174</f>
        <v>#REF!</v>
      </c>
      <c r="Y207" s="974">
        <f>+Y175-'[2]Contingency'!X174</f>
        <v>0</v>
      </c>
      <c r="Z207" s="974">
        <f>+Z175-'[2]Contingency'!Y174</f>
        <v>0</v>
      </c>
      <c r="AA207" s="971">
        <f>+AA175-'[2]Contingency'!Z174</f>
        <v>0</v>
      </c>
      <c r="AB207" s="971">
        <f>+AB175-'[2]Contingency'!AA174</f>
        <v>0</v>
      </c>
      <c r="AC207" s="971"/>
      <c r="AD207" s="975">
        <f>+AD175-'[2]Contingency'!AB174</f>
        <v>0</v>
      </c>
      <c r="AE207" s="547">
        <f>+AE175-'[2]Contingency'!AC174</f>
        <v>0</v>
      </c>
      <c r="AF207" s="567"/>
      <c r="AG207" s="567"/>
      <c r="AI207" s="567"/>
      <c r="AJ207" s="567"/>
      <c r="AK207" s="567"/>
      <c r="AL207" s="567"/>
      <c r="AM207" s="567"/>
      <c r="AN207" s="976">
        <f>+AN175-'[2]Contingency'!AD174</f>
        <v>0</v>
      </c>
      <c r="AO207" s="977">
        <f>+AO175-'[2]Contingency'!AE174</f>
        <v>0</v>
      </c>
      <c r="AP207" s="977">
        <f>+AP175-'[2]Contingency'!AF174</f>
        <v>0</v>
      </c>
      <c r="AQ207" s="567">
        <f>+AQ175-'[2]Contingency'!AG174</f>
        <v>0</v>
      </c>
      <c r="AR207" s="974">
        <f>+AR175-'[2]Contingency'!AH174</f>
        <v>0</v>
      </c>
    </row>
    <row r="208" spans="1:44" ht="20.25">
      <c r="A208" s="972"/>
      <c r="B208" s="973" t="s">
        <v>625</v>
      </c>
      <c r="J208" s="974">
        <f>+J176-'[2]Contingency'!I175</f>
        <v>0</v>
      </c>
      <c r="K208" s="974">
        <f>+K176-'[2]Contingency'!J175</f>
        <v>0</v>
      </c>
      <c r="L208" s="975">
        <f>+L176-'[2]Contingency'!K175</f>
        <v>0</v>
      </c>
      <c r="M208" s="567">
        <f>+M176-'[2]Contingency'!L175</f>
        <v>0</v>
      </c>
      <c r="N208" s="974">
        <f>+N176-'[2]Contingency'!M175</f>
        <v>0</v>
      </c>
      <c r="O208" s="974">
        <f>+O176-'[2]Contingency'!N175</f>
        <v>0</v>
      </c>
      <c r="P208" s="974">
        <f>+P176-'[2]Contingency'!O175</f>
        <v>0</v>
      </c>
      <c r="Q208" s="975">
        <f>+Q176-'[2]Contingency'!P175</f>
        <v>0</v>
      </c>
      <c r="R208" s="567">
        <f>+R176-'[2]Contingency'!Q175</f>
        <v>0</v>
      </c>
      <c r="S208" s="974">
        <f>+S176-'[2]Contingency'!R175</f>
        <v>0</v>
      </c>
      <c r="T208" s="974">
        <f>+T176-'[2]Contingency'!S175</f>
        <v>0</v>
      </c>
      <c r="U208" s="974">
        <f>+U176-'[2]Contingency'!T175</f>
        <v>0</v>
      </c>
      <c r="V208" s="974">
        <f>+V176-'[2]Contingency'!U175</f>
        <v>0</v>
      </c>
      <c r="W208" s="975">
        <f>+W176-'[2]Contingency'!V175</f>
        <v>0</v>
      </c>
      <c r="X208" s="567">
        <f>+X176-'[2]Contingency'!W175</f>
        <v>0</v>
      </c>
      <c r="Y208" s="974">
        <f>+Y176-'[2]Contingency'!X175</f>
        <v>0</v>
      </c>
      <c r="Z208" s="974">
        <f>+Z176-'[2]Contingency'!Y175</f>
        <v>0</v>
      </c>
      <c r="AA208" s="971">
        <f>+AA176-'[2]Contingency'!Z175</f>
        <v>0</v>
      </c>
      <c r="AB208" s="971">
        <f>+AB176-'[2]Contingency'!AA175</f>
        <v>0</v>
      </c>
      <c r="AC208" s="971"/>
      <c r="AD208" s="975">
        <f>+AD176-'[2]Contingency'!AB175</f>
        <v>0</v>
      </c>
      <c r="AE208" s="547">
        <f>+AE176-'[2]Contingency'!AC175</f>
        <v>0</v>
      </c>
      <c r="AF208" s="567"/>
      <c r="AG208" s="567"/>
      <c r="AI208" s="567"/>
      <c r="AJ208" s="567"/>
      <c r="AK208" s="567"/>
      <c r="AL208" s="567"/>
      <c r="AM208" s="567"/>
      <c r="AN208" s="976">
        <f>+AN176-'[2]Contingency'!AD175</f>
        <v>0</v>
      </c>
      <c r="AO208" s="977">
        <f>+AO176-'[2]Contingency'!AE175</f>
        <v>0</v>
      </c>
      <c r="AP208" s="977">
        <f>+AP176-'[2]Contingency'!AF175</f>
        <v>0</v>
      </c>
      <c r="AQ208" s="567">
        <f>+AQ176-'[2]Contingency'!AG175</f>
        <v>0</v>
      </c>
      <c r="AR208" s="974">
        <f>+AR176-'[2]Contingency'!AH175</f>
        <v>0</v>
      </c>
    </row>
    <row r="209" spans="1:44" ht="20.25">
      <c r="A209" s="972"/>
      <c r="B209" s="973" t="s">
        <v>626</v>
      </c>
      <c r="J209" s="974">
        <f>+J177-'[2]Contingency'!I176</f>
        <v>0</v>
      </c>
      <c r="K209" s="974">
        <f>+K177-'[2]Contingency'!J176</f>
        <v>0</v>
      </c>
      <c r="L209" s="975">
        <f>+L177-'[2]Contingency'!K176</f>
        <v>0</v>
      </c>
      <c r="M209" s="567">
        <f>+M177-'[2]Contingency'!L176</f>
        <v>0</v>
      </c>
      <c r="N209" s="974">
        <f>+N177-'[2]Contingency'!M176</f>
        <v>0</v>
      </c>
      <c r="O209" s="974">
        <f>+O177-'[2]Contingency'!N176</f>
        <v>0</v>
      </c>
      <c r="P209" s="974">
        <f>+P177-'[2]Contingency'!O176</f>
        <v>0</v>
      </c>
      <c r="Q209" s="975">
        <f>+Q177-'[2]Contingency'!P176</f>
        <v>0</v>
      </c>
      <c r="R209" s="567">
        <f>+R177-'[2]Contingency'!Q176</f>
        <v>0</v>
      </c>
      <c r="S209" s="974">
        <f>+S177-'[2]Contingency'!R176</f>
        <v>0</v>
      </c>
      <c r="T209" s="974">
        <f>+T177-'[2]Contingency'!S176</f>
        <v>0</v>
      </c>
      <c r="U209" s="974">
        <f>+U177-'[2]Contingency'!T176</f>
        <v>0</v>
      </c>
      <c r="V209" s="974">
        <f>+V177-'[2]Contingency'!U176</f>
        <v>0</v>
      </c>
      <c r="W209" s="975">
        <f>+W177-'[2]Contingency'!V176</f>
        <v>0</v>
      </c>
      <c r="X209" s="567">
        <f>+X177-'[2]Contingency'!W176</f>
        <v>0</v>
      </c>
      <c r="Y209" s="974">
        <f>+Y177-'[2]Contingency'!X176</f>
        <v>0</v>
      </c>
      <c r="Z209" s="974">
        <f>+Z177-'[2]Contingency'!Y176</f>
        <v>0</v>
      </c>
      <c r="AA209" s="971">
        <f>+AA177-'[2]Contingency'!Z176</f>
        <v>0</v>
      </c>
      <c r="AB209" s="971">
        <f>+AB177-'[2]Contingency'!AA176</f>
        <v>0</v>
      </c>
      <c r="AC209" s="971"/>
      <c r="AD209" s="975">
        <f>+AD177-'[2]Contingency'!AB176</f>
        <v>0</v>
      </c>
      <c r="AE209" s="547">
        <f>+AE177-'[2]Contingency'!AC176</f>
        <v>0</v>
      </c>
      <c r="AF209" s="567"/>
      <c r="AG209" s="567"/>
      <c r="AI209" s="567"/>
      <c r="AJ209" s="567"/>
      <c r="AK209" s="567"/>
      <c r="AL209" s="567"/>
      <c r="AM209" s="567"/>
      <c r="AN209" s="976">
        <f>+AN177-'[2]Contingency'!AD176</f>
        <v>0</v>
      </c>
      <c r="AO209" s="977">
        <f>+AO177-'[2]Contingency'!AE176</f>
        <v>0</v>
      </c>
      <c r="AP209" s="977">
        <f>+AP177-'[2]Contingency'!AF176</f>
        <v>0</v>
      </c>
      <c r="AQ209" s="567">
        <f>+AQ177-'[2]Contingency'!AG176</f>
        <v>0</v>
      </c>
      <c r="AR209" s="974">
        <f>+AR177-'[2]Contingency'!AH176</f>
        <v>0</v>
      </c>
    </row>
    <row r="210" spans="1:44" ht="20.25">
      <c r="A210" s="972"/>
      <c r="B210" s="973" t="s">
        <v>627</v>
      </c>
      <c r="J210" s="974">
        <f>+J178-'[2]Contingency'!I177</f>
        <v>0</v>
      </c>
      <c r="K210" s="974">
        <f>+K178-'[2]Contingency'!J177</f>
        <v>0</v>
      </c>
      <c r="L210" s="975">
        <f>+L178-'[2]Contingency'!K177</f>
        <v>0</v>
      </c>
      <c r="M210" s="567" t="e">
        <f>+M178-'[2]Contingency'!L177</f>
        <v>#REF!</v>
      </c>
      <c r="N210" s="974">
        <f>+N178-'[2]Contingency'!M177</f>
        <v>0</v>
      </c>
      <c r="O210" s="974">
        <f>+O178-'[2]Contingency'!N177</f>
        <v>0</v>
      </c>
      <c r="P210" s="974">
        <f>+P178-'[2]Contingency'!O177</f>
        <v>0</v>
      </c>
      <c r="Q210" s="975">
        <f>+Q178-'[2]Contingency'!P177</f>
        <v>0</v>
      </c>
      <c r="R210" s="567">
        <f>+R178-'[2]Contingency'!Q177</f>
        <v>0</v>
      </c>
      <c r="S210" s="974">
        <f>+S178-'[2]Contingency'!R177</f>
        <v>0</v>
      </c>
      <c r="T210" s="974">
        <f>+T178-'[2]Contingency'!S177</f>
        <v>0</v>
      </c>
      <c r="U210" s="974">
        <f>+U178-'[2]Contingency'!T177</f>
        <v>0</v>
      </c>
      <c r="V210" s="974">
        <f>+V178-'[2]Contingency'!U177</f>
        <v>0</v>
      </c>
      <c r="W210" s="975">
        <f>+W178-'[2]Contingency'!V177</f>
        <v>0</v>
      </c>
      <c r="X210" s="567">
        <f>+X178-'[2]Contingency'!W177</f>
        <v>0</v>
      </c>
      <c r="Y210" s="974">
        <f>+Y178-'[2]Contingency'!X177</f>
        <v>0</v>
      </c>
      <c r="Z210" s="974">
        <f>+Z178-'[2]Contingency'!Y177</f>
        <v>0</v>
      </c>
      <c r="AA210" s="971">
        <f>+AA178-'[2]Contingency'!Z177</f>
        <v>0</v>
      </c>
      <c r="AB210" s="971">
        <f>+AB178-'[2]Contingency'!AA177</f>
        <v>0</v>
      </c>
      <c r="AC210" s="971"/>
      <c r="AD210" s="975">
        <f>+AD178-'[2]Contingency'!AB177</f>
        <v>0</v>
      </c>
      <c r="AE210" s="547">
        <f>+AE178-'[2]Contingency'!AC177</f>
        <v>0</v>
      </c>
      <c r="AF210" s="567"/>
      <c r="AG210" s="567"/>
      <c r="AI210" s="567"/>
      <c r="AJ210" s="567"/>
      <c r="AK210" s="567"/>
      <c r="AL210" s="567"/>
      <c r="AM210" s="567"/>
      <c r="AN210" s="976">
        <f>+AN178-'[2]Contingency'!AD177</f>
        <v>0</v>
      </c>
      <c r="AO210" s="977">
        <f>+AO178-'[2]Contingency'!AE177</f>
        <v>0</v>
      </c>
      <c r="AP210" s="977">
        <f>+AP178-'[2]Contingency'!AF177</f>
        <v>0</v>
      </c>
      <c r="AQ210" s="567">
        <f>+AQ178-'[2]Contingency'!AG177</f>
        <v>0</v>
      </c>
      <c r="AR210" s="974">
        <f>+AR178-'[2]Contingency'!AH177</f>
        <v>0</v>
      </c>
    </row>
    <row r="211" spans="1:44" ht="20.25">
      <c r="A211" s="972"/>
      <c r="B211" s="973" t="s">
        <v>628</v>
      </c>
      <c r="J211" s="974">
        <f>+J179-'[2]Contingency'!I178</f>
        <v>0</v>
      </c>
      <c r="K211" s="974">
        <f>+K179-'[2]Contingency'!J178</f>
        <v>0</v>
      </c>
      <c r="L211" s="975">
        <f>+L179-'[2]Contingency'!K178</f>
        <v>0</v>
      </c>
      <c r="M211" s="567" t="e">
        <f>+M179-'[2]Contingency'!L178</f>
        <v>#REF!</v>
      </c>
      <c r="N211" s="974">
        <f>+N179-'[2]Contingency'!M178</f>
        <v>0</v>
      </c>
      <c r="O211" s="974">
        <f>+O179-'[2]Contingency'!N178</f>
        <v>0</v>
      </c>
      <c r="P211" s="974">
        <f>+P179-'[2]Contingency'!O178</f>
        <v>0</v>
      </c>
      <c r="Q211" s="975">
        <f>+Q179-'[2]Contingency'!P178</f>
        <v>0</v>
      </c>
      <c r="R211" s="567">
        <f>+R179-'[2]Contingency'!Q178</f>
        <v>0</v>
      </c>
      <c r="S211" s="974">
        <f>+S179-'[2]Contingency'!R178</f>
        <v>0</v>
      </c>
      <c r="T211" s="974">
        <f>+T179-'[2]Contingency'!S178</f>
        <v>0</v>
      </c>
      <c r="U211" s="974">
        <f>+U179-'[2]Contingency'!T178</f>
        <v>0</v>
      </c>
      <c r="V211" s="974">
        <f>+V179-'[2]Contingency'!U178</f>
        <v>0</v>
      </c>
      <c r="W211" s="975">
        <f>+W179-'[2]Contingency'!V178</f>
        <v>0</v>
      </c>
      <c r="X211" s="567" t="e">
        <f>+X179-'[2]Contingency'!W178</f>
        <v>#REF!</v>
      </c>
      <c r="Y211" s="974">
        <f>+Y179-'[2]Contingency'!X178</f>
        <v>0</v>
      </c>
      <c r="Z211" s="974">
        <f>+Z179-'[2]Contingency'!Y178</f>
        <v>0</v>
      </c>
      <c r="AA211" s="971">
        <f>+AA179-'[2]Contingency'!Z178</f>
        <v>0</v>
      </c>
      <c r="AB211" s="971">
        <f>+AB179-'[2]Contingency'!AA178</f>
        <v>0</v>
      </c>
      <c r="AC211" s="971"/>
      <c r="AD211" s="975">
        <f>+AD179-'[2]Contingency'!AB178</f>
        <v>0</v>
      </c>
      <c r="AE211" s="547">
        <f>+AE179-'[2]Contingency'!AC178</f>
        <v>0</v>
      </c>
      <c r="AF211" s="567"/>
      <c r="AG211" s="567"/>
      <c r="AI211" s="567"/>
      <c r="AJ211" s="567"/>
      <c r="AK211" s="567"/>
      <c r="AL211" s="567"/>
      <c r="AM211" s="567"/>
      <c r="AN211" s="976">
        <f>+AN179-'[2]Contingency'!AD178</f>
        <v>0</v>
      </c>
      <c r="AO211" s="977">
        <f>+AO179-'[2]Contingency'!AE178</f>
        <v>0</v>
      </c>
      <c r="AP211" s="977">
        <f>+AP179-'[2]Contingency'!AF178</f>
        <v>0</v>
      </c>
      <c r="AQ211" s="567">
        <f>+AQ179-'[2]Contingency'!AG178</f>
        <v>0</v>
      </c>
      <c r="AR211" s="974">
        <f>+AR179-'[2]Contingency'!AH178</f>
        <v>0</v>
      </c>
    </row>
    <row r="212" spans="1:44" ht="20.25">
      <c r="A212" s="972"/>
      <c r="B212" s="973" t="s">
        <v>629</v>
      </c>
      <c r="J212" s="974">
        <f>+J180-'[2]Contingency'!I179</f>
        <v>0</v>
      </c>
      <c r="K212" s="974">
        <f>+K180-'[2]Contingency'!J179</f>
        <v>0</v>
      </c>
      <c r="L212" s="975">
        <f>+L180-'[2]Contingency'!K179</f>
        <v>0</v>
      </c>
      <c r="M212" s="567">
        <f>+M180-'[2]Contingency'!L179</f>
        <v>0</v>
      </c>
      <c r="N212" s="974">
        <f>+N180-'[2]Contingency'!M179</f>
        <v>0</v>
      </c>
      <c r="O212" s="974">
        <f>+O180-'[2]Contingency'!N179</f>
        <v>0</v>
      </c>
      <c r="P212" s="974">
        <f>+P180-'[2]Contingency'!O179</f>
        <v>0</v>
      </c>
      <c r="Q212" s="975">
        <f>+Q180-'[2]Contingency'!P179</f>
        <v>0</v>
      </c>
      <c r="R212" s="567">
        <f>+R180-'[2]Contingency'!Q179</f>
        <v>0</v>
      </c>
      <c r="S212" s="974">
        <f>+S180-'[2]Contingency'!R179</f>
        <v>0</v>
      </c>
      <c r="T212" s="974">
        <f>+T180-'[2]Contingency'!S179</f>
        <v>0</v>
      </c>
      <c r="U212" s="974">
        <f>+U180-'[2]Contingency'!T179</f>
        <v>0</v>
      </c>
      <c r="V212" s="974">
        <f>+V180-'[2]Contingency'!U179</f>
        <v>0</v>
      </c>
      <c r="W212" s="975">
        <f>+W180-'[2]Contingency'!V179</f>
        <v>0</v>
      </c>
      <c r="X212" s="567">
        <f>+X180-'[2]Contingency'!W179</f>
        <v>0</v>
      </c>
      <c r="Y212" s="974">
        <f>+Y180-'[2]Contingency'!X179</f>
        <v>0</v>
      </c>
      <c r="Z212" s="974">
        <f>+Z180-'[2]Contingency'!Y179</f>
        <v>0</v>
      </c>
      <c r="AA212" s="971">
        <f>+AA180-'[2]Contingency'!Z179</f>
        <v>0</v>
      </c>
      <c r="AB212" s="971">
        <f>+AB180-'[2]Contingency'!AA179</f>
        <v>0</v>
      </c>
      <c r="AC212" s="971"/>
      <c r="AD212" s="975">
        <f>+AD180-'[2]Contingency'!AB179</f>
        <v>0</v>
      </c>
      <c r="AE212" s="547">
        <f>+AE180-'[2]Contingency'!AC179</f>
        <v>0</v>
      </c>
      <c r="AF212" s="567"/>
      <c r="AG212" s="567"/>
      <c r="AI212" s="567"/>
      <c r="AJ212" s="567"/>
      <c r="AK212" s="567"/>
      <c r="AL212" s="567"/>
      <c r="AM212" s="567"/>
      <c r="AN212" s="976">
        <f>+AN180-'[2]Contingency'!AD179</f>
        <v>0</v>
      </c>
      <c r="AO212" s="977">
        <f>+AO180-'[2]Contingency'!AE179</f>
        <v>0</v>
      </c>
      <c r="AP212" s="977">
        <f>+AP180-'[2]Contingency'!AF179</f>
        <v>0</v>
      </c>
      <c r="AQ212" s="567">
        <f>+AQ180-'[2]Contingency'!AG179</f>
        <v>0</v>
      </c>
      <c r="AR212" s="974">
        <f>+AR180-'[2]Contingency'!AH179</f>
        <v>0</v>
      </c>
    </row>
    <row r="213" spans="1:44" ht="20.25">
      <c r="A213" s="980" t="s">
        <v>630</v>
      </c>
      <c r="B213" s="981"/>
      <c r="C213" s="969"/>
      <c r="D213" s="969"/>
      <c r="E213" s="969"/>
      <c r="F213" s="969"/>
      <c r="G213" s="969"/>
      <c r="H213" s="969"/>
      <c r="I213" s="969"/>
      <c r="J213" s="982">
        <f>+J181-'[2]Contingency'!I180</f>
        <v>0</v>
      </c>
      <c r="K213" s="982">
        <f>+K181-'[2]Contingency'!J180</f>
        <v>0</v>
      </c>
      <c r="L213" s="982">
        <f>+L181-'[2]Contingency'!K180</f>
        <v>0</v>
      </c>
      <c r="M213" s="567">
        <f>+M181-'[2]Contingency'!L180</f>
        <v>0</v>
      </c>
      <c r="N213" s="982">
        <f>+N181-'[2]Contingency'!M180</f>
        <v>0</v>
      </c>
      <c r="O213" s="982">
        <f>+O181-'[2]Contingency'!N180</f>
        <v>0</v>
      </c>
      <c r="P213" s="982">
        <f>+P181-'[2]Contingency'!O180</f>
        <v>0</v>
      </c>
      <c r="Q213" s="982">
        <f>+Q181-'[2]Contingency'!P180</f>
        <v>0</v>
      </c>
      <c r="R213" s="567">
        <f>+R181-'[2]Contingency'!Q180</f>
        <v>0</v>
      </c>
      <c r="S213" s="982">
        <f>+S181-'[2]Contingency'!R180</f>
        <v>0</v>
      </c>
      <c r="T213" s="982">
        <f>+T181-'[2]Contingency'!S180</f>
        <v>0</v>
      </c>
      <c r="U213" s="982">
        <f>+U181-'[2]Contingency'!T180</f>
        <v>0</v>
      </c>
      <c r="V213" s="982">
        <f>+V181-'[2]Contingency'!U180</f>
        <v>0</v>
      </c>
      <c r="W213" s="982">
        <f>+W181-'[2]Contingency'!V180</f>
        <v>0</v>
      </c>
      <c r="X213" s="567">
        <f>+X181-'[2]Contingency'!W180</f>
        <v>0</v>
      </c>
      <c r="Y213" s="982">
        <f>+Y181-'[2]Contingency'!X180</f>
        <v>0</v>
      </c>
      <c r="Z213" s="982">
        <f>+Z181-'[2]Contingency'!Y180</f>
        <v>0</v>
      </c>
      <c r="AA213" s="971">
        <f>+AA181-'[2]Contingency'!Z180</f>
        <v>0</v>
      </c>
      <c r="AB213" s="971">
        <f>+AB181-'[2]Contingency'!AA180</f>
        <v>0</v>
      </c>
      <c r="AC213" s="971"/>
      <c r="AD213" s="982">
        <f>+AD181-'[2]Contingency'!AB180</f>
        <v>0</v>
      </c>
      <c r="AE213" s="547">
        <f>+AE181-'[2]Contingency'!AC180</f>
        <v>0</v>
      </c>
      <c r="AF213" s="567"/>
      <c r="AG213" s="567"/>
      <c r="AI213" s="567"/>
      <c r="AJ213" s="567"/>
      <c r="AK213" s="567"/>
      <c r="AL213" s="567"/>
      <c r="AM213" s="567"/>
      <c r="AN213" s="982">
        <f>+AN181-'[2]Contingency'!AD180</f>
        <v>0</v>
      </c>
      <c r="AO213" s="982">
        <f>+AO181-'[2]Contingency'!AE180</f>
        <v>0</v>
      </c>
      <c r="AP213" s="982">
        <f>+AP181-'[2]Contingency'!AF180</f>
        <v>0</v>
      </c>
      <c r="AQ213" s="567">
        <f>+AQ181-'[2]Contingency'!AG180</f>
        <v>0</v>
      </c>
      <c r="AR213" s="982">
        <f>+AR181-'[2]Contingency'!AH180</f>
        <v>0</v>
      </c>
    </row>
  </sheetData>
  <printOptions gridLines="1" horizontalCentered="1" verticalCentered="1"/>
  <pageMargins left="0.17" right="0.17" top="0.75" bottom="0.33" header="0.17" footer="0.09"/>
  <pageSetup fitToHeight="4" fitToWidth="1" horizontalDpi="600" verticalDpi="600" orientation="landscape" paperSize="218" scale="61" r:id="rId2"/>
  <headerFooter alignWithMargins="0">
    <oddFooter>&amp;Cpage &amp;P of &amp;N&amp;R&amp;F              &amp;A   &amp;D    &amp;T</oddFooter>
  </headerFooter>
  <drawing r:id="rId1"/>
</worksheet>
</file>

<file path=xl/worksheets/sheet9.xml><?xml version="1.0" encoding="utf-8"?>
<worksheet xmlns="http://schemas.openxmlformats.org/spreadsheetml/2006/main" xmlns:r="http://schemas.openxmlformats.org/officeDocument/2006/relationships">
  <dimension ref="A1:AO55"/>
  <sheetViews>
    <sheetView zoomScale="50" zoomScaleNormal="50" workbookViewId="0" topLeftCell="A1">
      <selection activeCell="A1" sqref="A1:IV16384"/>
    </sheetView>
  </sheetViews>
  <sheetFormatPr defaultColWidth="9.140625" defaultRowHeight="12.75"/>
  <cols>
    <col min="1" max="1" width="18.57421875" style="416" customWidth="1"/>
    <col min="2" max="2" width="11.421875" style="416" customWidth="1"/>
    <col min="3" max="5" width="1.7109375" style="416" customWidth="1"/>
    <col min="6" max="37" width="8.57421875" style="416" customWidth="1"/>
    <col min="38" max="38" width="7.140625" style="416" customWidth="1"/>
    <col min="39" max="39" width="6.7109375" style="416" customWidth="1"/>
    <col min="40" max="40" width="6.140625" style="416" customWidth="1"/>
    <col min="41" max="41" width="4.421875" style="416" customWidth="1"/>
    <col min="42" max="16384" width="11.421875" style="416" customWidth="1"/>
  </cols>
  <sheetData>
    <row r="1" spans="1:41" ht="12.75">
      <c r="A1" s="416" t="s">
        <v>446</v>
      </c>
      <c r="B1" s="416" t="s">
        <v>447</v>
      </c>
      <c r="C1" s="416" t="s">
        <v>18</v>
      </c>
      <c r="D1" s="416" t="s">
        <v>18</v>
      </c>
      <c r="E1" s="416" t="s">
        <v>18</v>
      </c>
      <c r="F1" s="416" t="s">
        <v>18</v>
      </c>
      <c r="G1" s="416" t="s">
        <v>19</v>
      </c>
      <c r="H1" s="416" t="s">
        <v>20</v>
      </c>
      <c r="I1" s="416" t="s">
        <v>15</v>
      </c>
      <c r="J1" s="416" t="s">
        <v>21</v>
      </c>
      <c r="K1" s="416" t="s">
        <v>14</v>
      </c>
      <c r="L1" s="416" t="s">
        <v>16</v>
      </c>
      <c r="M1" s="416" t="s">
        <v>14</v>
      </c>
      <c r="N1" s="416" t="s">
        <v>15</v>
      </c>
      <c r="O1" s="416" t="s">
        <v>15</v>
      </c>
      <c r="P1" s="416" t="s">
        <v>16</v>
      </c>
      <c r="Q1" s="416" t="s">
        <v>17</v>
      </c>
      <c r="R1" s="416" t="s">
        <v>18</v>
      </c>
      <c r="S1" s="416" t="s">
        <v>19</v>
      </c>
      <c r="T1" s="416" t="s">
        <v>20</v>
      </c>
      <c r="U1" s="416" t="s">
        <v>15</v>
      </c>
      <c r="V1" s="416" t="s">
        <v>21</v>
      </c>
      <c r="W1" s="416" t="s">
        <v>14</v>
      </c>
      <c r="X1" s="416" t="s">
        <v>16</v>
      </c>
      <c r="Y1" s="416" t="s">
        <v>14</v>
      </c>
      <c r="Z1" s="416" t="s">
        <v>15</v>
      </c>
      <c r="AA1" s="416" t="s">
        <v>15</v>
      </c>
      <c r="AB1" s="416" t="s">
        <v>16</v>
      </c>
      <c r="AC1" s="416" t="s">
        <v>17</v>
      </c>
      <c r="AD1" s="416" t="s">
        <v>18</v>
      </c>
      <c r="AE1" s="416" t="s">
        <v>19</v>
      </c>
      <c r="AF1" s="416" t="s">
        <v>20</v>
      </c>
      <c r="AG1" s="416" t="s">
        <v>15</v>
      </c>
      <c r="AH1" s="416" t="s">
        <v>21</v>
      </c>
      <c r="AI1" s="416" t="s">
        <v>14</v>
      </c>
      <c r="AJ1" s="416" t="s">
        <v>16</v>
      </c>
      <c r="AK1" s="416" t="s">
        <v>14</v>
      </c>
      <c r="AL1" s="416" t="s">
        <v>15</v>
      </c>
      <c r="AM1" s="416" t="s">
        <v>15</v>
      </c>
      <c r="AN1" s="416" t="s">
        <v>16</v>
      </c>
      <c r="AO1" s="416" t="s">
        <v>17</v>
      </c>
    </row>
    <row r="2" spans="1:34" ht="12.75">
      <c r="A2" s="416" t="s">
        <v>448</v>
      </c>
      <c r="B2" s="416" t="s">
        <v>197</v>
      </c>
      <c r="C2" s="416">
        <v>4.7</v>
      </c>
      <c r="D2" s="416">
        <v>4.7</v>
      </c>
      <c r="E2" s="416">
        <v>4.7</v>
      </c>
      <c r="F2" s="416">
        <v>4.7</v>
      </c>
      <c r="G2" s="416">
        <v>4.3</v>
      </c>
      <c r="H2" s="416">
        <v>5.2</v>
      </c>
      <c r="I2" s="416">
        <v>6.4</v>
      </c>
      <c r="J2" s="416">
        <v>6.3</v>
      </c>
      <c r="K2" s="416">
        <v>6.6</v>
      </c>
      <c r="L2" s="416">
        <v>3.4</v>
      </c>
      <c r="M2" s="416">
        <v>3.4</v>
      </c>
      <c r="N2" s="416">
        <v>2.5</v>
      </c>
      <c r="O2" s="416">
        <v>2.6</v>
      </c>
      <c r="P2" s="416">
        <v>2.8</v>
      </c>
      <c r="Q2" s="416">
        <v>2.3</v>
      </c>
      <c r="R2" s="416">
        <v>2.9</v>
      </c>
      <c r="S2" s="416">
        <v>3.2</v>
      </c>
      <c r="T2" s="416">
        <v>1.8</v>
      </c>
      <c r="U2" s="416">
        <v>2</v>
      </c>
      <c r="V2" s="416">
        <v>1</v>
      </c>
      <c r="W2" s="416">
        <v>0.9</v>
      </c>
      <c r="X2" s="416">
        <v>0.9</v>
      </c>
      <c r="Y2" s="416">
        <v>0.6</v>
      </c>
      <c r="Z2" s="416">
        <v>0.6</v>
      </c>
      <c r="AA2" s="416">
        <v>0.3</v>
      </c>
      <c r="AB2" s="416">
        <v>0.2</v>
      </c>
      <c r="AC2" s="416">
        <v>0</v>
      </c>
      <c r="AD2" s="416">
        <v>0</v>
      </c>
      <c r="AE2" s="416">
        <v>0</v>
      </c>
      <c r="AF2" s="416">
        <v>0</v>
      </c>
      <c r="AG2" s="416">
        <v>0</v>
      </c>
      <c r="AH2" s="416">
        <v>0</v>
      </c>
    </row>
    <row r="3" spans="1:30" ht="12.75">
      <c r="A3" s="416" t="s">
        <v>454</v>
      </c>
      <c r="B3" s="416" t="s">
        <v>197</v>
      </c>
      <c r="Y3" s="416">
        <v>0.8</v>
      </c>
      <c r="Z3" s="416">
        <v>0.9</v>
      </c>
      <c r="AA3" s="416">
        <v>1.1</v>
      </c>
      <c r="AB3" s="416">
        <v>0.2</v>
      </c>
      <c r="AC3" s="416">
        <v>0.5</v>
      </c>
      <c r="AD3" s="416">
        <v>0.3</v>
      </c>
    </row>
    <row r="4" spans="1:37" ht="12.75">
      <c r="A4" s="416" t="s">
        <v>455</v>
      </c>
      <c r="B4" s="416" t="s">
        <v>197</v>
      </c>
      <c r="C4" s="416">
        <v>2.6</v>
      </c>
      <c r="D4" s="416">
        <v>2.6</v>
      </c>
      <c r="E4" s="416">
        <v>2.6</v>
      </c>
      <c r="F4" s="416">
        <v>2.6</v>
      </c>
      <c r="G4" s="416">
        <v>2.4</v>
      </c>
      <c r="H4" s="416">
        <v>1.9</v>
      </c>
      <c r="I4" s="416">
        <v>2.6</v>
      </c>
      <c r="J4" s="416">
        <v>2.4</v>
      </c>
      <c r="K4" s="416">
        <v>2.6</v>
      </c>
      <c r="L4" s="416">
        <v>2.5</v>
      </c>
      <c r="M4" s="416">
        <v>2.8</v>
      </c>
      <c r="N4" s="416">
        <v>2.7</v>
      </c>
      <c r="O4" s="416">
        <v>2.7</v>
      </c>
      <c r="P4" s="416">
        <v>3</v>
      </c>
      <c r="Q4" s="416">
        <v>2.3</v>
      </c>
      <c r="R4" s="416">
        <v>0.7</v>
      </c>
      <c r="S4" s="416">
        <v>0.7</v>
      </c>
      <c r="T4" s="416">
        <v>0.5</v>
      </c>
      <c r="U4" s="416">
        <v>0.7</v>
      </c>
      <c r="V4" s="416">
        <v>0.7</v>
      </c>
      <c r="W4" s="416">
        <v>0.7</v>
      </c>
      <c r="X4" s="416">
        <v>0.7</v>
      </c>
      <c r="Y4" s="416">
        <v>0.7</v>
      </c>
      <c r="Z4" s="416">
        <v>0.7</v>
      </c>
      <c r="AA4" s="416">
        <v>0.7</v>
      </c>
      <c r="AB4" s="416">
        <v>0.7</v>
      </c>
      <c r="AC4" s="416">
        <v>0.6</v>
      </c>
      <c r="AD4" s="416">
        <v>0.3</v>
      </c>
      <c r="AE4" s="416">
        <v>0.2</v>
      </c>
      <c r="AF4" s="416">
        <v>0.2</v>
      </c>
      <c r="AG4" s="416">
        <v>0.3</v>
      </c>
      <c r="AH4" s="416">
        <v>0.2</v>
      </c>
      <c r="AI4" s="416">
        <v>0.3</v>
      </c>
      <c r="AJ4" s="416">
        <v>0.3</v>
      </c>
      <c r="AK4" s="416">
        <v>0.2</v>
      </c>
    </row>
    <row r="5" spans="1:30" ht="12.75">
      <c r="A5" s="416" t="s">
        <v>452</v>
      </c>
      <c r="B5" s="416" t="s">
        <v>198</v>
      </c>
      <c r="R5" s="416">
        <v>1.3</v>
      </c>
      <c r="S5" s="416">
        <v>1.1</v>
      </c>
      <c r="T5" s="416">
        <v>0.8</v>
      </c>
      <c r="U5" s="416">
        <v>1</v>
      </c>
      <c r="V5" s="416">
        <v>0.8</v>
      </c>
      <c r="W5" s="416">
        <v>0.8</v>
      </c>
      <c r="X5" s="416">
        <v>1</v>
      </c>
      <c r="Y5" s="416">
        <v>1.4</v>
      </c>
      <c r="Z5" s="416">
        <v>1.4</v>
      </c>
      <c r="AA5" s="416">
        <v>1.4</v>
      </c>
      <c r="AB5" s="416">
        <v>1.3</v>
      </c>
      <c r="AC5" s="416">
        <v>1.1</v>
      </c>
      <c r="AD5" s="416">
        <v>0.4</v>
      </c>
    </row>
    <row r="6" spans="1:35" ht="12.75">
      <c r="A6" s="416" t="s">
        <v>455</v>
      </c>
      <c r="B6" s="416" t="s">
        <v>198</v>
      </c>
      <c r="AE6" s="416">
        <v>0.1</v>
      </c>
      <c r="AF6" s="416">
        <v>0.2</v>
      </c>
      <c r="AG6" s="416">
        <v>0.2</v>
      </c>
      <c r="AH6" s="416">
        <v>0.2</v>
      </c>
      <c r="AI6" s="416">
        <v>0.1</v>
      </c>
    </row>
    <row r="7" spans="1:30" ht="12.75">
      <c r="A7" s="416" t="s">
        <v>452</v>
      </c>
      <c r="B7" s="416" t="s">
        <v>229</v>
      </c>
      <c r="W7" s="416">
        <v>0.2</v>
      </c>
      <c r="X7" s="416">
        <v>0.5</v>
      </c>
      <c r="Y7" s="416">
        <v>0.8</v>
      </c>
      <c r="Z7" s="416">
        <v>0.8</v>
      </c>
      <c r="AA7" s="416">
        <v>0.9</v>
      </c>
      <c r="AB7" s="416">
        <v>0.8</v>
      </c>
      <c r="AC7" s="416">
        <v>0.8</v>
      </c>
      <c r="AD7" s="416">
        <v>0.4</v>
      </c>
    </row>
    <row r="8" spans="1:29" ht="12.75">
      <c r="A8" s="416" t="s">
        <v>455</v>
      </c>
      <c r="B8" s="416" t="s">
        <v>199</v>
      </c>
      <c r="C8" s="416">
        <v>0.1</v>
      </c>
      <c r="D8" s="416">
        <v>0.1</v>
      </c>
      <c r="E8" s="416">
        <v>0.1</v>
      </c>
      <c r="F8" s="416">
        <v>0.1</v>
      </c>
      <c r="G8" s="416">
        <v>0.1</v>
      </c>
      <c r="H8" s="416">
        <v>0.1</v>
      </c>
      <c r="I8" s="416">
        <v>0.1</v>
      </c>
      <c r="J8" s="416">
        <v>0.1</v>
      </c>
      <c r="K8" s="416">
        <v>0.1</v>
      </c>
      <c r="L8" s="416">
        <v>0.1</v>
      </c>
      <c r="M8" s="416">
        <v>0.1</v>
      </c>
      <c r="N8" s="416">
        <v>0.1</v>
      </c>
      <c r="O8" s="416">
        <v>0.1</v>
      </c>
      <c r="P8" s="416">
        <v>0.1</v>
      </c>
      <c r="Q8" s="416">
        <v>0.1</v>
      </c>
      <c r="R8" s="416">
        <v>0.1</v>
      </c>
      <c r="S8" s="416">
        <v>0.1</v>
      </c>
      <c r="T8" s="416">
        <v>0.1</v>
      </c>
      <c r="U8" s="416">
        <v>0.1</v>
      </c>
      <c r="V8" s="416">
        <v>0.1</v>
      </c>
      <c r="W8" s="416">
        <v>0.1</v>
      </c>
      <c r="X8" s="416">
        <v>0.1</v>
      </c>
      <c r="Y8" s="416">
        <v>0.1</v>
      </c>
      <c r="Z8" s="416">
        <v>0.1</v>
      </c>
      <c r="AA8" s="416">
        <v>0.1</v>
      </c>
      <c r="AB8" s="416">
        <v>0.1</v>
      </c>
      <c r="AC8" s="416">
        <v>0.1</v>
      </c>
    </row>
    <row r="9" spans="1:35" ht="12.75">
      <c r="A9" s="416" t="s">
        <v>451</v>
      </c>
      <c r="B9" s="416" t="s">
        <v>200</v>
      </c>
      <c r="R9" s="416">
        <v>5.3</v>
      </c>
      <c r="S9" s="416">
        <v>3.9</v>
      </c>
      <c r="T9" s="416">
        <v>1.7</v>
      </c>
      <c r="U9" s="416">
        <v>2.5</v>
      </c>
      <c r="V9" s="416">
        <v>1.6</v>
      </c>
      <c r="W9" s="416">
        <v>1.6</v>
      </c>
      <c r="X9" s="416">
        <v>1.8</v>
      </c>
      <c r="Y9" s="416">
        <v>2.6</v>
      </c>
      <c r="Z9" s="416">
        <v>2.3</v>
      </c>
      <c r="AA9" s="416">
        <v>2.3</v>
      </c>
      <c r="AB9" s="416">
        <v>1.9</v>
      </c>
      <c r="AC9" s="416">
        <v>1.3</v>
      </c>
      <c r="AD9" s="416">
        <v>0.4</v>
      </c>
      <c r="AE9" s="416">
        <v>0.3</v>
      </c>
      <c r="AF9" s="416">
        <v>0.2</v>
      </c>
      <c r="AG9" s="416">
        <v>0.2</v>
      </c>
      <c r="AH9" s="416">
        <v>0.1</v>
      </c>
      <c r="AI9" s="416">
        <v>0.1</v>
      </c>
    </row>
    <row r="10" spans="1:35" ht="12.75">
      <c r="A10" s="416" t="s">
        <v>455</v>
      </c>
      <c r="B10" s="416" t="s">
        <v>200</v>
      </c>
      <c r="AE10" s="416">
        <v>0.3</v>
      </c>
      <c r="AF10" s="416">
        <v>0.8</v>
      </c>
      <c r="AG10" s="416">
        <v>1</v>
      </c>
      <c r="AH10" s="416">
        <v>0.9</v>
      </c>
      <c r="AI10" s="416">
        <v>0.4</v>
      </c>
    </row>
    <row r="11" spans="1:23" ht="12.75">
      <c r="A11" s="416" t="s">
        <v>448</v>
      </c>
      <c r="B11" s="416" t="s">
        <v>201</v>
      </c>
      <c r="C11" s="416">
        <v>2.4</v>
      </c>
      <c r="D11" s="416">
        <v>2.4</v>
      </c>
      <c r="E11" s="416">
        <v>2.4</v>
      </c>
      <c r="F11" s="416">
        <v>2.4</v>
      </c>
      <c r="G11" s="416">
        <v>1.1</v>
      </c>
      <c r="H11" s="416">
        <v>0.6</v>
      </c>
      <c r="I11" s="416">
        <v>1.5</v>
      </c>
      <c r="J11" s="416">
        <v>1.3</v>
      </c>
      <c r="K11" s="416">
        <v>0.9</v>
      </c>
      <c r="L11" s="416">
        <v>1.4</v>
      </c>
      <c r="M11" s="416">
        <v>1.1</v>
      </c>
      <c r="N11" s="416">
        <v>0.1</v>
      </c>
      <c r="O11" s="416">
        <v>0.8</v>
      </c>
      <c r="P11" s="416">
        <v>0.7</v>
      </c>
      <c r="Q11" s="416">
        <v>0</v>
      </c>
      <c r="R11" s="416">
        <v>0.6</v>
      </c>
      <c r="U11" s="416">
        <v>1.1</v>
      </c>
      <c r="V11" s="416">
        <v>0.4</v>
      </c>
      <c r="W11" s="416">
        <v>0.2</v>
      </c>
    </row>
    <row r="12" spans="1:35" ht="12.75">
      <c r="A12" s="416" t="s">
        <v>451</v>
      </c>
      <c r="B12" s="416" t="s">
        <v>201</v>
      </c>
      <c r="R12" s="416">
        <v>0.2</v>
      </c>
      <c r="S12" s="416">
        <v>0.1</v>
      </c>
      <c r="T12" s="416">
        <v>0.1</v>
      </c>
      <c r="U12" s="416">
        <v>0.5</v>
      </c>
      <c r="V12" s="416">
        <v>1.2</v>
      </c>
      <c r="W12" s="416">
        <v>1.7</v>
      </c>
      <c r="X12" s="416">
        <v>2</v>
      </c>
      <c r="Y12" s="416">
        <v>2.4</v>
      </c>
      <c r="Z12" s="416">
        <v>1.9</v>
      </c>
      <c r="AA12" s="416">
        <v>1.6</v>
      </c>
      <c r="AB12" s="416">
        <v>1.3</v>
      </c>
      <c r="AC12" s="416">
        <v>0.9</v>
      </c>
      <c r="AD12" s="416">
        <v>0.9</v>
      </c>
      <c r="AE12" s="416">
        <v>0.5</v>
      </c>
      <c r="AF12" s="416">
        <v>0.3</v>
      </c>
      <c r="AG12" s="416">
        <v>0.3</v>
      </c>
      <c r="AH12" s="416">
        <v>0.2</v>
      </c>
      <c r="AI12" s="416">
        <v>0.1</v>
      </c>
    </row>
    <row r="13" spans="1:20" ht="12.75">
      <c r="A13" s="416" t="s">
        <v>454</v>
      </c>
      <c r="B13" s="416" t="s">
        <v>201</v>
      </c>
      <c r="L13" s="416">
        <v>0.1</v>
      </c>
      <c r="M13" s="416">
        <v>0.1</v>
      </c>
      <c r="N13" s="416">
        <v>0.1</v>
      </c>
      <c r="O13" s="416">
        <v>0.1</v>
      </c>
      <c r="P13" s="416">
        <v>0.1</v>
      </c>
      <c r="Q13" s="416">
        <v>0.1</v>
      </c>
      <c r="R13" s="416">
        <v>0.1</v>
      </c>
      <c r="S13" s="416">
        <v>0.1</v>
      </c>
      <c r="T13" s="416">
        <v>0</v>
      </c>
    </row>
    <row r="14" spans="1:35" ht="12.75">
      <c r="A14" s="416" t="s">
        <v>451</v>
      </c>
      <c r="B14" s="416" t="s">
        <v>202</v>
      </c>
      <c r="R14" s="416">
        <v>0.6</v>
      </c>
      <c r="S14" s="416">
        <v>0.4</v>
      </c>
      <c r="T14" s="416">
        <v>0.3</v>
      </c>
      <c r="U14" s="416">
        <v>0.7</v>
      </c>
      <c r="V14" s="416">
        <v>2</v>
      </c>
      <c r="W14" s="416">
        <v>3.9</v>
      </c>
      <c r="X14" s="416">
        <v>4.5</v>
      </c>
      <c r="Y14" s="416">
        <v>4</v>
      </c>
      <c r="Z14" s="416">
        <v>3</v>
      </c>
      <c r="AA14" s="416">
        <v>2</v>
      </c>
      <c r="AB14" s="416">
        <v>2</v>
      </c>
      <c r="AC14" s="416">
        <v>1.2</v>
      </c>
      <c r="AD14" s="416">
        <v>0.5</v>
      </c>
      <c r="AE14" s="416">
        <v>0.3</v>
      </c>
      <c r="AF14" s="416">
        <v>0.2</v>
      </c>
      <c r="AG14" s="416">
        <v>0.2</v>
      </c>
      <c r="AH14" s="416">
        <v>0.2</v>
      </c>
      <c r="AI14" s="416">
        <v>0.1</v>
      </c>
    </row>
    <row r="15" spans="1:26" ht="12.75">
      <c r="A15" s="416" t="s">
        <v>452</v>
      </c>
      <c r="B15" s="416" t="s">
        <v>202</v>
      </c>
      <c r="U15" s="416">
        <v>0.4</v>
      </c>
      <c r="V15" s="416">
        <v>0.6</v>
      </c>
      <c r="W15" s="416">
        <v>0.6</v>
      </c>
      <c r="X15" s="416">
        <v>0.6</v>
      </c>
      <c r="Y15" s="416">
        <v>0.6</v>
      </c>
      <c r="Z15" s="416">
        <v>0.5</v>
      </c>
    </row>
    <row r="16" spans="1:35" ht="12.75">
      <c r="A16" s="416" t="s">
        <v>455</v>
      </c>
      <c r="B16" s="416" t="s">
        <v>202</v>
      </c>
      <c r="AE16" s="416">
        <v>0.1</v>
      </c>
      <c r="AF16" s="416">
        <v>0.4</v>
      </c>
      <c r="AG16" s="416">
        <v>0.5</v>
      </c>
      <c r="AH16" s="416">
        <v>0.5</v>
      </c>
      <c r="AI16" s="416">
        <v>0.2</v>
      </c>
    </row>
    <row r="17" spans="1:41" ht="12.75">
      <c r="A17" s="416" t="s">
        <v>448</v>
      </c>
      <c r="B17" s="416" t="s">
        <v>203</v>
      </c>
      <c r="C17" s="416">
        <v>0.9</v>
      </c>
      <c r="D17" s="416">
        <v>0.9</v>
      </c>
      <c r="E17" s="416">
        <v>0.9</v>
      </c>
      <c r="F17" s="416">
        <v>0.9</v>
      </c>
      <c r="G17" s="416">
        <v>2</v>
      </c>
      <c r="H17" s="416">
        <v>1.8</v>
      </c>
      <c r="I17" s="416">
        <v>0.9</v>
      </c>
      <c r="J17" s="416">
        <v>0.8</v>
      </c>
      <c r="K17" s="416">
        <v>0.9</v>
      </c>
      <c r="L17" s="416">
        <v>0.8</v>
      </c>
      <c r="M17" s="416">
        <v>1.5</v>
      </c>
      <c r="N17" s="416">
        <v>1.5</v>
      </c>
      <c r="O17" s="416">
        <v>0.9</v>
      </c>
      <c r="P17" s="416">
        <v>0.9</v>
      </c>
      <c r="Q17" s="416">
        <v>0.8</v>
      </c>
      <c r="R17" s="416">
        <v>1</v>
      </c>
      <c r="S17" s="416">
        <v>1.5</v>
      </c>
      <c r="T17" s="416">
        <v>1.2</v>
      </c>
      <c r="U17" s="416">
        <v>1.7</v>
      </c>
      <c r="V17" s="416">
        <v>1</v>
      </c>
      <c r="W17" s="416">
        <v>0.9</v>
      </c>
      <c r="X17" s="416">
        <v>1.1</v>
      </c>
      <c r="Y17" s="416">
        <v>1.1</v>
      </c>
      <c r="Z17" s="416">
        <v>1.1</v>
      </c>
      <c r="AA17" s="416">
        <v>0.2</v>
      </c>
      <c r="AB17" s="416">
        <v>0.2</v>
      </c>
      <c r="AC17" s="416">
        <v>0.2</v>
      </c>
      <c r="AD17" s="416">
        <v>0.2</v>
      </c>
      <c r="AE17" s="416">
        <v>0.2</v>
      </c>
      <c r="AF17" s="416">
        <v>0.2</v>
      </c>
      <c r="AG17" s="416">
        <v>0.2</v>
      </c>
      <c r="AN17" s="1015"/>
      <c r="AO17" s="1015"/>
    </row>
    <row r="18" spans="1:41" ht="12.75">
      <c r="A18" s="416" t="s">
        <v>449</v>
      </c>
      <c r="B18" s="416" t="s">
        <v>203</v>
      </c>
      <c r="S18" s="416">
        <v>1</v>
      </c>
      <c r="T18" s="416">
        <v>0.3</v>
      </c>
      <c r="U18" s="416">
        <v>0.4</v>
      </c>
      <c r="V18" s="416">
        <v>0.1</v>
      </c>
      <c r="W18" s="416">
        <v>0</v>
      </c>
      <c r="X18" s="416">
        <v>0</v>
      </c>
      <c r="AN18" s="1015"/>
      <c r="AO18" s="1015"/>
    </row>
    <row r="19" spans="1:41" ht="12.75">
      <c r="A19" s="416" t="s">
        <v>450</v>
      </c>
      <c r="B19" s="416" t="s">
        <v>203</v>
      </c>
      <c r="C19" s="416">
        <v>0.3</v>
      </c>
      <c r="D19" s="416">
        <v>0.3</v>
      </c>
      <c r="E19" s="416">
        <v>0.3</v>
      </c>
      <c r="F19" s="416">
        <v>0.3</v>
      </c>
      <c r="G19" s="416">
        <v>0.2</v>
      </c>
      <c r="H19" s="416">
        <v>0.1</v>
      </c>
      <c r="I19" s="416">
        <v>0.3</v>
      </c>
      <c r="J19" s="416">
        <v>0.2</v>
      </c>
      <c r="K19" s="416">
        <v>0</v>
      </c>
      <c r="L19" s="416">
        <v>0</v>
      </c>
      <c r="M19" s="416">
        <v>0</v>
      </c>
      <c r="N19" s="416">
        <v>0</v>
      </c>
      <c r="O19" s="416">
        <v>0</v>
      </c>
      <c r="P19" s="416">
        <v>0</v>
      </c>
      <c r="Q19" s="416">
        <v>0</v>
      </c>
      <c r="R19" s="416">
        <v>0.1</v>
      </c>
      <c r="S19" s="416">
        <v>0</v>
      </c>
      <c r="T19" s="416">
        <v>0</v>
      </c>
      <c r="U19" s="416">
        <v>0</v>
      </c>
      <c r="V19" s="416">
        <v>0.1</v>
      </c>
      <c r="W19" s="416">
        <v>0</v>
      </c>
      <c r="X19" s="416">
        <v>0</v>
      </c>
      <c r="Y19" s="416">
        <v>0</v>
      </c>
      <c r="Z19" s="416">
        <v>0</v>
      </c>
      <c r="AA19" s="416">
        <v>0</v>
      </c>
      <c r="AB19" s="416">
        <v>0</v>
      </c>
      <c r="AC19" s="416">
        <v>0</v>
      </c>
      <c r="AD19" s="416">
        <v>0</v>
      </c>
      <c r="AN19" s="1015"/>
      <c r="AO19" s="1015"/>
    </row>
    <row r="20" spans="1:41" ht="12.75">
      <c r="A20" s="416" t="s">
        <v>453</v>
      </c>
      <c r="B20" s="416" t="s">
        <v>203</v>
      </c>
      <c r="R20" s="416">
        <v>1.3</v>
      </c>
      <c r="S20" s="416">
        <v>1</v>
      </c>
      <c r="T20" s="416">
        <v>0.6</v>
      </c>
      <c r="U20" s="416">
        <v>0.2</v>
      </c>
      <c r="V20" s="416">
        <v>0.3</v>
      </c>
      <c r="W20" s="416">
        <v>0.4</v>
      </c>
      <c r="X20" s="416">
        <v>0.3</v>
      </c>
      <c r="Y20" s="416">
        <v>0.3</v>
      </c>
      <c r="Z20" s="416">
        <v>0.1</v>
      </c>
      <c r="AN20" s="1015"/>
      <c r="AO20" s="1015"/>
    </row>
    <row r="21" spans="1:41" ht="12.75">
      <c r="A21" s="416" t="s">
        <v>454</v>
      </c>
      <c r="B21" s="416" t="s">
        <v>203</v>
      </c>
      <c r="L21" s="416">
        <v>0.1</v>
      </c>
      <c r="M21" s="416">
        <v>0.1</v>
      </c>
      <c r="N21" s="416">
        <v>0.1</v>
      </c>
      <c r="O21" s="416">
        <v>0.1</v>
      </c>
      <c r="P21" s="416">
        <v>0.1</v>
      </c>
      <c r="Q21" s="416">
        <v>0.1</v>
      </c>
      <c r="R21" s="416">
        <v>0.1</v>
      </c>
      <c r="S21" s="416">
        <v>0.1</v>
      </c>
      <c r="T21" s="416">
        <v>0.1</v>
      </c>
      <c r="U21" s="416">
        <v>1</v>
      </c>
      <c r="V21" s="416">
        <v>1</v>
      </c>
      <c r="W21" s="416">
        <v>1</v>
      </c>
      <c r="X21" s="416">
        <v>1</v>
      </c>
      <c r="Y21" s="416">
        <v>1</v>
      </c>
      <c r="Z21" s="416">
        <v>1</v>
      </c>
      <c r="AA21" s="416">
        <v>1</v>
      </c>
      <c r="AB21" s="416">
        <v>1</v>
      </c>
      <c r="AC21" s="416">
        <v>1</v>
      </c>
      <c r="AD21" s="416">
        <v>1.1</v>
      </c>
      <c r="AE21" s="416">
        <v>0.8</v>
      </c>
      <c r="AF21" s="416">
        <v>0.8</v>
      </c>
      <c r="AG21" s="416">
        <v>1.5</v>
      </c>
      <c r="AH21" s="416">
        <v>0.9</v>
      </c>
      <c r="AI21" s="416">
        <v>1</v>
      </c>
      <c r="AN21" s="1015"/>
      <c r="AO21" s="1015"/>
    </row>
    <row r="22" spans="1:41" ht="12.75">
      <c r="A22" s="416" t="s">
        <v>455</v>
      </c>
      <c r="B22" s="416" t="s">
        <v>203</v>
      </c>
      <c r="C22" s="416">
        <v>0.4</v>
      </c>
      <c r="D22" s="416">
        <v>0.4</v>
      </c>
      <c r="E22" s="416">
        <v>0.4</v>
      </c>
      <c r="F22" s="416">
        <v>0.4</v>
      </c>
      <c r="G22" s="416">
        <v>0.4</v>
      </c>
      <c r="H22" s="416">
        <v>0.3</v>
      </c>
      <c r="I22" s="416">
        <v>0.4</v>
      </c>
      <c r="J22" s="416">
        <v>0.4</v>
      </c>
      <c r="K22" s="416">
        <v>0.4</v>
      </c>
      <c r="L22" s="416">
        <v>0.4</v>
      </c>
      <c r="M22" s="416">
        <v>0.4</v>
      </c>
      <c r="N22" s="416">
        <v>0.4</v>
      </c>
      <c r="O22" s="416">
        <v>0.4</v>
      </c>
      <c r="P22" s="416">
        <v>0.4</v>
      </c>
      <c r="Q22" s="416">
        <v>0.3</v>
      </c>
      <c r="R22" s="416">
        <v>0.1</v>
      </c>
      <c r="S22" s="416">
        <v>0.1</v>
      </c>
      <c r="T22" s="416">
        <v>0.1</v>
      </c>
      <c r="U22" s="416">
        <v>0.1</v>
      </c>
      <c r="V22" s="416">
        <v>0.1</v>
      </c>
      <c r="W22" s="416">
        <v>0.1</v>
      </c>
      <c r="X22" s="416">
        <v>0.1</v>
      </c>
      <c r="Y22" s="416">
        <v>0.3</v>
      </c>
      <c r="Z22" s="416">
        <v>1.2</v>
      </c>
      <c r="AA22" s="416">
        <v>1.2</v>
      </c>
      <c r="AB22" s="416">
        <v>1.2</v>
      </c>
      <c r="AC22" s="416">
        <v>1.2</v>
      </c>
      <c r="AD22" s="416">
        <v>1.2</v>
      </c>
      <c r="AE22" s="416">
        <v>1.2</v>
      </c>
      <c r="AF22" s="416">
        <v>1.6</v>
      </c>
      <c r="AG22" s="416">
        <v>1</v>
      </c>
      <c r="AH22" s="416">
        <v>0.8</v>
      </c>
      <c r="AI22" s="416">
        <v>0.3</v>
      </c>
      <c r="AN22" s="1015"/>
      <c r="AO22" s="1015"/>
    </row>
    <row r="23" spans="1:41" ht="12.75">
      <c r="A23" s="416" t="s">
        <v>448</v>
      </c>
      <c r="B23" s="416" t="s">
        <v>204</v>
      </c>
      <c r="C23" s="416">
        <v>0.7</v>
      </c>
      <c r="D23" s="416">
        <v>0.7</v>
      </c>
      <c r="E23" s="416">
        <v>0.7</v>
      </c>
      <c r="F23" s="416">
        <v>0.7</v>
      </c>
      <c r="G23" s="416">
        <v>0.6</v>
      </c>
      <c r="H23" s="416">
        <v>0.7</v>
      </c>
      <c r="I23" s="416">
        <v>0.7</v>
      </c>
      <c r="J23" s="416">
        <v>0.6</v>
      </c>
      <c r="K23" s="416">
        <v>0.8</v>
      </c>
      <c r="L23" s="416">
        <v>0.7</v>
      </c>
      <c r="M23" s="416">
        <v>0.7</v>
      </c>
      <c r="N23" s="416">
        <v>0.7</v>
      </c>
      <c r="O23" s="416">
        <v>0.7</v>
      </c>
      <c r="P23" s="416">
        <v>0.7</v>
      </c>
      <c r="Q23" s="416">
        <v>0.6</v>
      </c>
      <c r="R23" s="416">
        <v>1.2</v>
      </c>
      <c r="S23" s="416">
        <v>0.9</v>
      </c>
      <c r="T23" s="416">
        <v>0.2</v>
      </c>
      <c r="U23" s="416">
        <v>0.2</v>
      </c>
      <c r="V23" s="416">
        <v>0.3</v>
      </c>
      <c r="W23" s="416">
        <v>0.3</v>
      </c>
      <c r="X23" s="416">
        <v>0.2</v>
      </c>
      <c r="Y23" s="416">
        <v>0.1</v>
      </c>
      <c r="Z23" s="416">
        <v>0.1</v>
      </c>
      <c r="AA23" s="416">
        <v>0</v>
      </c>
      <c r="AB23" s="416">
        <v>0</v>
      </c>
      <c r="AC23" s="416">
        <v>0</v>
      </c>
      <c r="AD23" s="416">
        <v>0</v>
      </c>
      <c r="AN23" s="1015"/>
      <c r="AO23" s="1015"/>
    </row>
    <row r="24" spans="1:41" ht="12.75">
      <c r="A24" s="416" t="s">
        <v>449</v>
      </c>
      <c r="B24" s="416" t="s">
        <v>204</v>
      </c>
      <c r="S24" s="416">
        <v>0.7</v>
      </c>
      <c r="T24" s="416">
        <v>0.1</v>
      </c>
      <c r="U24" s="416">
        <v>0.3</v>
      </c>
      <c r="V24" s="416">
        <v>0.1</v>
      </c>
      <c r="W24" s="416">
        <v>0.2</v>
      </c>
      <c r="X24" s="416">
        <v>0.2</v>
      </c>
      <c r="AN24" s="1015"/>
      <c r="AO24" s="1015"/>
    </row>
    <row r="25" spans="1:41" ht="12.75">
      <c r="A25" s="416" t="s">
        <v>450</v>
      </c>
      <c r="B25" s="416" t="s">
        <v>204</v>
      </c>
      <c r="C25" s="416">
        <v>0.2</v>
      </c>
      <c r="D25" s="416">
        <v>0.2</v>
      </c>
      <c r="E25" s="416">
        <v>0.2</v>
      </c>
      <c r="F25" s="416">
        <v>0.2</v>
      </c>
      <c r="P25" s="416">
        <v>0.1</v>
      </c>
      <c r="Q25" s="416">
        <v>0.1</v>
      </c>
      <c r="R25" s="416">
        <v>0.1</v>
      </c>
      <c r="S25" s="416">
        <v>0.1</v>
      </c>
      <c r="T25" s="416">
        <v>0</v>
      </c>
      <c r="U25" s="416">
        <v>0.1</v>
      </c>
      <c r="V25" s="416">
        <v>0.1</v>
      </c>
      <c r="W25" s="416">
        <v>0</v>
      </c>
      <c r="X25" s="416">
        <v>0.1</v>
      </c>
      <c r="Y25" s="416">
        <v>0.1</v>
      </c>
      <c r="Z25" s="416">
        <v>0.1</v>
      </c>
      <c r="AA25" s="416">
        <v>0.1</v>
      </c>
      <c r="AB25" s="416">
        <v>0.1</v>
      </c>
      <c r="AC25" s="416">
        <v>0</v>
      </c>
      <c r="AN25" s="1015"/>
      <c r="AO25" s="1015"/>
    </row>
    <row r="26" spans="1:41" ht="12.75">
      <c r="A26" s="416" t="s">
        <v>453</v>
      </c>
      <c r="B26" s="416" t="s">
        <v>204</v>
      </c>
      <c r="V26" s="416">
        <v>0</v>
      </c>
      <c r="W26" s="416">
        <v>0.1</v>
      </c>
      <c r="X26" s="416">
        <v>0.1</v>
      </c>
      <c r="Y26" s="416">
        <v>0.1</v>
      </c>
      <c r="AN26" s="1015"/>
      <c r="AO26" s="1015"/>
    </row>
    <row r="27" spans="1:41" ht="12.75">
      <c r="A27" s="416" t="s">
        <v>454</v>
      </c>
      <c r="B27" s="416" t="s">
        <v>204</v>
      </c>
      <c r="L27" s="416">
        <v>0.1</v>
      </c>
      <c r="M27" s="416">
        <v>0.1</v>
      </c>
      <c r="N27" s="416">
        <v>0.1</v>
      </c>
      <c r="O27" s="416">
        <v>0.1</v>
      </c>
      <c r="P27" s="416">
        <v>0.1</v>
      </c>
      <c r="Q27" s="416">
        <v>0.1</v>
      </c>
      <c r="R27" s="416">
        <v>0</v>
      </c>
      <c r="S27" s="416">
        <v>0</v>
      </c>
      <c r="T27" s="416">
        <v>0.1</v>
      </c>
      <c r="U27" s="416">
        <v>1</v>
      </c>
      <c r="V27" s="416">
        <v>0.9</v>
      </c>
      <c r="W27" s="416">
        <v>0.9</v>
      </c>
      <c r="X27" s="416">
        <v>1</v>
      </c>
      <c r="Y27" s="416">
        <v>3.4</v>
      </c>
      <c r="Z27" s="416">
        <v>3.9</v>
      </c>
      <c r="AA27" s="416">
        <v>4.2</v>
      </c>
      <c r="AB27" s="416">
        <v>3.2</v>
      </c>
      <c r="AC27" s="416">
        <v>3.8</v>
      </c>
      <c r="AD27" s="416">
        <v>5.7</v>
      </c>
      <c r="AE27" s="416">
        <v>2.7</v>
      </c>
      <c r="AF27" s="416">
        <v>2.6</v>
      </c>
      <c r="AG27" s="416">
        <v>2.4</v>
      </c>
      <c r="AH27" s="416">
        <v>0.9</v>
      </c>
      <c r="AI27" s="416">
        <v>1</v>
      </c>
      <c r="AN27" s="1015"/>
      <c r="AO27" s="1015"/>
    </row>
    <row r="28" spans="1:41" ht="12.75">
      <c r="A28" s="416" t="s">
        <v>455</v>
      </c>
      <c r="B28" s="416" t="s">
        <v>204</v>
      </c>
      <c r="Y28" s="416">
        <v>0.2</v>
      </c>
      <c r="Z28" s="416">
        <v>1.1</v>
      </c>
      <c r="AA28" s="416">
        <v>1.1</v>
      </c>
      <c r="AB28" s="416">
        <v>1.1</v>
      </c>
      <c r="AC28" s="416">
        <v>1.1</v>
      </c>
      <c r="AD28" s="416">
        <v>1.2</v>
      </c>
      <c r="AE28" s="416">
        <v>1.4</v>
      </c>
      <c r="AF28" s="416">
        <v>2.2</v>
      </c>
      <c r="AG28" s="416">
        <v>1.8</v>
      </c>
      <c r="AH28" s="416">
        <v>1.6</v>
      </c>
      <c r="AI28" s="416">
        <v>0.6</v>
      </c>
      <c r="AN28" s="1015"/>
      <c r="AO28" s="1015"/>
    </row>
    <row r="29" spans="1:41" ht="12.75">
      <c r="A29" s="416" t="s">
        <v>448</v>
      </c>
      <c r="B29" s="416" t="s">
        <v>205</v>
      </c>
      <c r="C29" s="416">
        <v>25.5</v>
      </c>
      <c r="D29" s="416">
        <v>25.5</v>
      </c>
      <c r="E29" s="416">
        <v>25.5</v>
      </c>
      <c r="F29" s="416">
        <v>25.5</v>
      </c>
      <c r="G29" s="416">
        <v>21.4</v>
      </c>
      <c r="H29" s="416">
        <v>18.6</v>
      </c>
      <c r="I29" s="416">
        <v>26.9</v>
      </c>
      <c r="J29" s="416">
        <v>23.4</v>
      </c>
      <c r="K29" s="416">
        <v>30.8</v>
      </c>
      <c r="L29" s="416">
        <v>23.8</v>
      </c>
      <c r="M29" s="416">
        <v>26.2</v>
      </c>
      <c r="N29" s="416">
        <v>26.9</v>
      </c>
      <c r="O29" s="416">
        <v>21.4</v>
      </c>
      <c r="P29" s="416">
        <v>32.1</v>
      </c>
      <c r="Q29" s="416">
        <v>26</v>
      </c>
      <c r="R29" s="416">
        <v>24.4</v>
      </c>
      <c r="S29" s="416">
        <v>22.1</v>
      </c>
      <c r="T29" s="416">
        <v>14.2</v>
      </c>
      <c r="U29" s="416">
        <v>17.7</v>
      </c>
      <c r="V29" s="416">
        <v>17.9</v>
      </c>
      <c r="W29" s="416">
        <v>9.6</v>
      </c>
      <c r="X29" s="416">
        <v>12.8</v>
      </c>
      <c r="Y29" s="416">
        <v>9.3</v>
      </c>
      <c r="Z29" s="416">
        <v>9.9</v>
      </c>
      <c r="AA29" s="416">
        <v>3.8</v>
      </c>
      <c r="AB29" s="416">
        <v>3.3</v>
      </c>
      <c r="AC29" s="416">
        <v>3.3</v>
      </c>
      <c r="AD29" s="416">
        <v>1.3</v>
      </c>
      <c r="AN29" s="1015"/>
      <c r="AO29" s="1015"/>
    </row>
    <row r="30" spans="1:41" ht="12.75">
      <c r="A30" s="416" t="s">
        <v>449</v>
      </c>
      <c r="B30" s="416" t="s">
        <v>205</v>
      </c>
      <c r="V30" s="416">
        <v>0.4</v>
      </c>
      <c r="W30" s="416">
        <v>0.6</v>
      </c>
      <c r="X30" s="416">
        <v>0.2</v>
      </c>
      <c r="AN30" s="1015"/>
      <c r="AO30" s="1015"/>
    </row>
    <row r="31" spans="1:41" ht="12.75">
      <c r="A31" s="416" t="s">
        <v>450</v>
      </c>
      <c r="B31" s="416" t="s">
        <v>205</v>
      </c>
      <c r="C31" s="416">
        <v>2.3</v>
      </c>
      <c r="D31" s="416">
        <v>2.3</v>
      </c>
      <c r="E31" s="416">
        <v>2.3</v>
      </c>
      <c r="F31" s="416">
        <v>2.3</v>
      </c>
      <c r="G31" s="416">
        <v>0.1</v>
      </c>
      <c r="H31" s="416">
        <v>0</v>
      </c>
      <c r="I31" s="416">
        <v>0.7</v>
      </c>
      <c r="J31" s="416">
        <v>0.1</v>
      </c>
      <c r="K31" s="416">
        <v>0.1</v>
      </c>
      <c r="L31" s="416">
        <v>0.1</v>
      </c>
      <c r="M31" s="416">
        <v>0.1</v>
      </c>
      <c r="N31" s="416">
        <v>0.1</v>
      </c>
      <c r="O31" s="416">
        <v>0.1</v>
      </c>
      <c r="P31" s="416">
        <v>0.1</v>
      </c>
      <c r="Q31" s="416">
        <v>0.1</v>
      </c>
      <c r="R31" s="416">
        <v>0.1</v>
      </c>
      <c r="S31" s="416">
        <v>0.1</v>
      </c>
      <c r="T31" s="416">
        <v>0.1</v>
      </c>
      <c r="U31" s="416">
        <v>0.1</v>
      </c>
      <c r="V31" s="416">
        <v>0</v>
      </c>
      <c r="W31" s="416">
        <v>0</v>
      </c>
      <c r="X31" s="416">
        <v>0</v>
      </c>
      <c r="Y31" s="416">
        <v>0</v>
      </c>
      <c r="Z31" s="416">
        <v>0</v>
      </c>
      <c r="AA31" s="416">
        <v>0</v>
      </c>
      <c r="AB31" s="416">
        <v>0</v>
      </c>
      <c r="AC31" s="416">
        <v>0</v>
      </c>
      <c r="AD31" s="416">
        <v>0</v>
      </c>
      <c r="AN31" s="1015"/>
      <c r="AO31" s="1015"/>
    </row>
    <row r="32" spans="1:41" ht="12.75">
      <c r="A32" s="416" t="s">
        <v>452</v>
      </c>
      <c r="B32" s="416" t="s">
        <v>205</v>
      </c>
      <c r="X32" s="416">
        <v>0.5</v>
      </c>
      <c r="Y32" s="416">
        <v>1</v>
      </c>
      <c r="Z32" s="416">
        <v>1</v>
      </c>
      <c r="AA32" s="416">
        <v>1.1</v>
      </c>
      <c r="AB32" s="416">
        <v>1</v>
      </c>
      <c r="AC32" s="416">
        <v>0.6</v>
      </c>
      <c r="AN32" s="1015"/>
      <c r="AO32" s="1015"/>
    </row>
    <row r="33" spans="1:41" ht="12.75">
      <c r="A33" s="416" t="s">
        <v>453</v>
      </c>
      <c r="B33" s="416" t="s">
        <v>205</v>
      </c>
      <c r="U33" s="416">
        <v>1.6</v>
      </c>
      <c r="V33" s="416">
        <v>2.1</v>
      </c>
      <c r="W33" s="416">
        <v>2.6</v>
      </c>
      <c r="X33" s="416">
        <v>2.5</v>
      </c>
      <c r="Y33" s="416">
        <v>2.4</v>
      </c>
      <c r="Z33" s="416">
        <v>0.7</v>
      </c>
      <c r="AN33" s="1015"/>
      <c r="AO33" s="1015"/>
    </row>
    <row r="34" spans="1:41" ht="12.75">
      <c r="A34" s="416" t="s">
        <v>454</v>
      </c>
      <c r="B34" s="416" t="s">
        <v>205</v>
      </c>
      <c r="L34" s="416">
        <v>0.1</v>
      </c>
      <c r="M34" s="416">
        <v>0.1</v>
      </c>
      <c r="N34" s="416">
        <v>0.1</v>
      </c>
      <c r="R34" s="416">
        <v>0.1</v>
      </c>
      <c r="S34" s="416">
        <v>0.1</v>
      </c>
      <c r="T34" s="416">
        <v>1.3</v>
      </c>
      <c r="U34" s="416">
        <v>0.7</v>
      </c>
      <c r="V34" s="416">
        <v>0.1</v>
      </c>
      <c r="W34" s="416">
        <v>0.1</v>
      </c>
      <c r="X34" s="416">
        <v>0.1</v>
      </c>
      <c r="Y34" s="416">
        <v>8.8</v>
      </c>
      <c r="Z34" s="416">
        <v>10.3</v>
      </c>
      <c r="AA34" s="416">
        <v>11.8</v>
      </c>
      <c r="AB34" s="416">
        <v>9.5</v>
      </c>
      <c r="AC34" s="416">
        <v>14.5</v>
      </c>
      <c r="AD34" s="416">
        <v>17.3</v>
      </c>
      <c r="AE34" s="416">
        <v>6.2</v>
      </c>
      <c r="AF34" s="416">
        <v>5.9</v>
      </c>
      <c r="AG34" s="416">
        <v>7.4</v>
      </c>
      <c r="AH34" s="416">
        <v>4.3</v>
      </c>
      <c r="AI34" s="416">
        <v>1.7</v>
      </c>
      <c r="AN34" s="1015"/>
      <c r="AO34" s="1015"/>
    </row>
    <row r="35" spans="1:41" ht="12.75">
      <c r="A35" s="416" t="s">
        <v>455</v>
      </c>
      <c r="B35" s="416" t="s">
        <v>205</v>
      </c>
      <c r="AE35" s="416">
        <v>0.1</v>
      </c>
      <c r="AF35" s="416">
        <v>0.2</v>
      </c>
      <c r="AG35" s="416">
        <v>0.2</v>
      </c>
      <c r="AH35" s="416">
        <v>0.2</v>
      </c>
      <c r="AI35" s="416">
        <v>0.1</v>
      </c>
      <c r="AN35" s="1015"/>
      <c r="AO35" s="1015"/>
    </row>
    <row r="36" spans="1:41" ht="12.75">
      <c r="A36" s="416" t="s">
        <v>448</v>
      </c>
      <c r="B36" s="416" t="s">
        <v>206</v>
      </c>
      <c r="C36" s="416">
        <v>4.6</v>
      </c>
      <c r="D36" s="416">
        <v>4.6</v>
      </c>
      <c r="E36" s="416">
        <v>4.6</v>
      </c>
      <c r="F36" s="416">
        <v>4.6</v>
      </c>
      <c r="G36" s="416">
        <v>8.3</v>
      </c>
      <c r="H36" s="416">
        <v>4.7</v>
      </c>
      <c r="I36" s="416">
        <v>5.7</v>
      </c>
      <c r="J36" s="416">
        <v>3.7</v>
      </c>
      <c r="K36" s="416">
        <v>5.3</v>
      </c>
      <c r="L36" s="416">
        <v>3.4</v>
      </c>
      <c r="M36" s="416">
        <v>3.1</v>
      </c>
      <c r="N36" s="416">
        <v>2.9</v>
      </c>
      <c r="O36" s="416">
        <v>2.9</v>
      </c>
      <c r="P36" s="416">
        <v>3.2</v>
      </c>
      <c r="Q36" s="416">
        <v>2.5</v>
      </c>
      <c r="R36" s="416">
        <v>3.2</v>
      </c>
      <c r="S36" s="416">
        <v>2.9</v>
      </c>
      <c r="T36" s="416">
        <v>1.9</v>
      </c>
      <c r="U36" s="416">
        <v>2.2</v>
      </c>
      <c r="V36" s="416">
        <v>2</v>
      </c>
      <c r="W36" s="416">
        <v>1.7</v>
      </c>
      <c r="X36" s="416">
        <v>1.8</v>
      </c>
      <c r="Y36" s="416">
        <v>1.7</v>
      </c>
      <c r="Z36" s="416">
        <v>1.7</v>
      </c>
      <c r="AA36" s="416">
        <v>1.2</v>
      </c>
      <c r="AB36" s="416">
        <v>1</v>
      </c>
      <c r="AC36" s="416">
        <v>0.8</v>
      </c>
      <c r="AD36" s="416">
        <v>0.9</v>
      </c>
      <c r="AE36" s="416">
        <v>0.6</v>
      </c>
      <c r="AF36" s="416">
        <v>0.6</v>
      </c>
      <c r="AG36" s="416">
        <v>0.7</v>
      </c>
      <c r="AH36" s="416">
        <v>0.7</v>
      </c>
      <c r="AI36" s="416">
        <v>0.7</v>
      </c>
      <c r="AJ36" s="416">
        <v>0.3</v>
      </c>
      <c r="AN36" s="1015"/>
      <c r="AO36" s="1015"/>
    </row>
    <row r="37" spans="1:41" ht="12.75">
      <c r="A37" s="416" t="s">
        <v>455</v>
      </c>
      <c r="B37" s="416" t="s">
        <v>206</v>
      </c>
      <c r="C37" s="416">
        <v>0.2</v>
      </c>
      <c r="D37" s="416">
        <v>0.2</v>
      </c>
      <c r="E37" s="416">
        <v>0.2</v>
      </c>
      <c r="F37" s="416">
        <v>0.2</v>
      </c>
      <c r="G37" s="416">
        <v>0.2</v>
      </c>
      <c r="H37" s="416">
        <v>0.1</v>
      </c>
      <c r="I37" s="416">
        <v>0.2</v>
      </c>
      <c r="J37" s="416">
        <v>0.2</v>
      </c>
      <c r="K37" s="416">
        <v>0.2</v>
      </c>
      <c r="L37" s="416">
        <v>0.1</v>
      </c>
      <c r="AN37" s="1015"/>
      <c r="AO37" s="1015"/>
    </row>
    <row r="38" spans="40:41" ht="12.75">
      <c r="AN38" s="1015"/>
      <c r="AO38" s="1015"/>
    </row>
    <row r="39" spans="3:41" ht="12.75">
      <c r="C39" s="416" t="s">
        <v>18</v>
      </c>
      <c r="D39" s="416" t="s">
        <v>18</v>
      </c>
      <c r="E39" s="416" t="s">
        <v>18</v>
      </c>
      <c r="F39" s="416" t="s">
        <v>18</v>
      </c>
      <c r="G39" s="416" t="s">
        <v>19</v>
      </c>
      <c r="H39" s="416" t="s">
        <v>20</v>
      </c>
      <c r="I39" s="416" t="s">
        <v>15</v>
      </c>
      <c r="J39" s="416" t="s">
        <v>21</v>
      </c>
      <c r="K39" s="416" t="s">
        <v>14</v>
      </c>
      <c r="L39" s="416" t="s">
        <v>16</v>
      </c>
      <c r="M39" s="416" t="s">
        <v>14</v>
      </c>
      <c r="N39" s="416" t="s">
        <v>15</v>
      </c>
      <c r="O39" s="416" t="s">
        <v>15</v>
      </c>
      <c r="P39" s="416" t="s">
        <v>16</v>
      </c>
      <c r="Q39" s="416" t="s">
        <v>17</v>
      </c>
      <c r="R39" s="416" t="s">
        <v>18</v>
      </c>
      <c r="S39" s="416" t="s">
        <v>19</v>
      </c>
      <c r="T39" s="416" t="s">
        <v>20</v>
      </c>
      <c r="U39" s="416" t="s">
        <v>15</v>
      </c>
      <c r="V39" s="416" t="s">
        <v>21</v>
      </c>
      <c r="W39" s="416" t="s">
        <v>14</v>
      </c>
      <c r="X39" s="416" t="s">
        <v>16</v>
      </c>
      <c r="Y39" s="416" t="s">
        <v>14</v>
      </c>
      <c r="Z39" s="416" t="s">
        <v>15</v>
      </c>
      <c r="AA39" s="416" t="s">
        <v>15</v>
      </c>
      <c r="AB39" s="416" t="s">
        <v>16</v>
      </c>
      <c r="AC39" s="416" t="s">
        <v>17</v>
      </c>
      <c r="AD39" s="416" t="s">
        <v>18</v>
      </c>
      <c r="AE39" s="416" t="s">
        <v>19</v>
      </c>
      <c r="AF39" s="416" t="s">
        <v>20</v>
      </c>
      <c r="AG39" s="416" t="s">
        <v>15</v>
      </c>
      <c r="AH39" s="416" t="s">
        <v>21</v>
      </c>
      <c r="AI39" s="416" t="s">
        <v>14</v>
      </c>
      <c r="AJ39" s="416" t="s">
        <v>16</v>
      </c>
      <c r="AK39" s="416" t="s">
        <v>14</v>
      </c>
      <c r="AL39" s="416" t="s">
        <v>15</v>
      </c>
      <c r="AM39" s="416" t="s">
        <v>15</v>
      </c>
      <c r="AN39" s="1016" t="s">
        <v>16</v>
      </c>
      <c r="AO39" s="1016" t="s">
        <v>17</v>
      </c>
    </row>
    <row r="40" spans="2:41" ht="12.75">
      <c r="B40" s="416" t="s">
        <v>458</v>
      </c>
      <c r="C40" s="1017">
        <v>31.7</v>
      </c>
      <c r="D40" s="1017">
        <v>31.7</v>
      </c>
      <c r="E40" s="1017">
        <v>31.7</v>
      </c>
      <c r="F40" s="1017">
        <v>31.7</v>
      </c>
      <c r="G40" s="1017">
        <v>24</v>
      </c>
      <c r="H40" s="1017">
        <v>22.5</v>
      </c>
      <c r="I40" s="1017">
        <v>33.4</v>
      </c>
      <c r="J40" s="1017">
        <v>28.7</v>
      </c>
      <c r="K40" s="1017">
        <v>36.2</v>
      </c>
      <c r="L40" s="1017">
        <v>29.7</v>
      </c>
      <c r="M40" s="1017">
        <v>32</v>
      </c>
      <c r="N40" s="1017">
        <v>31.5</v>
      </c>
      <c r="O40" s="1017">
        <v>26.6</v>
      </c>
      <c r="P40" s="1017">
        <v>37.6</v>
      </c>
      <c r="Q40" s="1017">
        <v>30.1</v>
      </c>
      <c r="R40" s="1017">
        <v>34.8</v>
      </c>
      <c r="S40" s="1017">
        <v>31</v>
      </c>
      <c r="T40" s="1017">
        <v>18.8</v>
      </c>
      <c r="U40" s="1017">
        <v>27.9</v>
      </c>
      <c r="V40" s="1017">
        <v>29.5</v>
      </c>
      <c r="W40" s="1017">
        <v>24.4</v>
      </c>
      <c r="X40" s="1017">
        <v>28.8</v>
      </c>
      <c r="Y40" s="1017">
        <v>36.6</v>
      </c>
      <c r="Z40" s="1017">
        <v>36.7</v>
      </c>
      <c r="AA40" s="1017">
        <v>30.1</v>
      </c>
      <c r="AB40" s="1017">
        <v>25.7</v>
      </c>
      <c r="AC40" s="1017">
        <v>29.6</v>
      </c>
      <c r="AD40" s="1017">
        <v>27.6</v>
      </c>
      <c r="AE40" s="1017">
        <v>11.5</v>
      </c>
      <c r="AF40" s="1017">
        <v>12</v>
      </c>
      <c r="AG40" s="1017">
        <v>13.1</v>
      </c>
      <c r="AH40" s="1017">
        <v>8.2</v>
      </c>
      <c r="AI40" s="1017">
        <v>3.8</v>
      </c>
      <c r="AJ40" s="1017">
        <v>0</v>
      </c>
      <c r="AK40" s="1017">
        <v>0</v>
      </c>
      <c r="AL40" s="1018"/>
      <c r="AN40" s="1015"/>
      <c r="AO40" s="1015"/>
    </row>
    <row r="41" spans="2:41" ht="12.75">
      <c r="B41" s="416" t="s">
        <v>459</v>
      </c>
      <c r="C41" s="1018">
        <v>13.7</v>
      </c>
      <c r="D41" s="1018">
        <v>13.7</v>
      </c>
      <c r="E41" s="1018">
        <v>13.7</v>
      </c>
      <c r="F41" s="1018">
        <v>13.7</v>
      </c>
      <c r="G41" s="1018">
        <v>17.8</v>
      </c>
      <c r="H41" s="1018">
        <v>14.1</v>
      </c>
      <c r="I41" s="1018">
        <v>16.5</v>
      </c>
      <c r="J41" s="1018">
        <v>14</v>
      </c>
      <c r="K41" s="1018">
        <v>16</v>
      </c>
      <c r="L41" s="1018">
        <v>10.7</v>
      </c>
      <c r="M41" s="1018">
        <v>11.3</v>
      </c>
      <c r="N41" s="1018">
        <v>10.1</v>
      </c>
      <c r="O41" s="1018">
        <v>9.6</v>
      </c>
      <c r="P41" s="1018">
        <v>10.4</v>
      </c>
      <c r="Q41" s="1018">
        <v>8.3</v>
      </c>
      <c r="R41" s="1018">
        <v>17.8</v>
      </c>
      <c r="S41" s="1018">
        <v>17.1</v>
      </c>
      <c r="T41" s="1018">
        <v>10.2</v>
      </c>
      <c r="U41" s="1018">
        <v>13.6</v>
      </c>
      <c r="V41" s="1018">
        <v>10.4</v>
      </c>
      <c r="W41" s="1018">
        <v>9.8</v>
      </c>
      <c r="X41" s="1018">
        <v>10.5</v>
      </c>
      <c r="Y41" s="1018">
        <v>12.2</v>
      </c>
      <c r="Z41" s="1018">
        <v>12.7</v>
      </c>
      <c r="AA41" s="1018">
        <v>11.2</v>
      </c>
      <c r="AB41" s="1018">
        <v>9.4</v>
      </c>
      <c r="AC41" s="1018">
        <v>8.4</v>
      </c>
      <c r="AD41" s="1018">
        <v>4.8</v>
      </c>
      <c r="AE41" s="1018">
        <v>3.7</v>
      </c>
      <c r="AF41" s="1018">
        <v>4.6</v>
      </c>
      <c r="AG41" s="1018">
        <v>5.1</v>
      </c>
      <c r="AH41" s="1018">
        <v>3.8</v>
      </c>
      <c r="AI41" s="1018">
        <v>2.9</v>
      </c>
      <c r="AJ41" s="1018">
        <v>0.6</v>
      </c>
      <c r="AK41" s="1018">
        <v>0.2</v>
      </c>
      <c r="AL41" s="1018"/>
      <c r="AN41" s="1015"/>
      <c r="AO41" s="1015"/>
    </row>
    <row r="42" spans="2:41" ht="12.75">
      <c r="B42" s="416" t="s">
        <v>457</v>
      </c>
      <c r="C42" s="1018">
        <v>31.7</v>
      </c>
      <c r="D42" s="1018">
        <v>31.7</v>
      </c>
      <c r="E42" s="1018">
        <v>31.7</v>
      </c>
      <c r="F42" s="1018">
        <f>SUM(F40,F49)</f>
        <v>31.7</v>
      </c>
      <c r="G42" s="1018">
        <f aca="true" t="shared" si="0" ref="G42:AM42">SUM(G40,G49)</f>
        <v>24</v>
      </c>
      <c r="H42" s="1018">
        <f t="shared" si="0"/>
        <v>22.5</v>
      </c>
      <c r="I42" s="1018">
        <f t="shared" si="0"/>
        <v>33.4</v>
      </c>
      <c r="J42" s="1018">
        <f t="shared" si="0"/>
        <v>28.7</v>
      </c>
      <c r="K42" s="1018">
        <f t="shared" si="0"/>
        <v>36.2</v>
      </c>
      <c r="L42" s="1018">
        <f t="shared" si="0"/>
        <v>29.7</v>
      </c>
      <c r="M42" s="1018">
        <f t="shared" si="0"/>
        <v>32</v>
      </c>
      <c r="N42" s="1018">
        <f t="shared" si="0"/>
        <v>31.5</v>
      </c>
      <c r="O42" s="1018">
        <f t="shared" si="0"/>
        <v>26.6</v>
      </c>
      <c r="P42" s="1018">
        <f t="shared" si="0"/>
        <v>37.6</v>
      </c>
      <c r="Q42" s="1018">
        <f t="shared" si="0"/>
        <v>30.1</v>
      </c>
      <c r="R42" s="1018">
        <f t="shared" si="0"/>
        <v>34.8</v>
      </c>
      <c r="S42" s="1018">
        <f t="shared" si="0"/>
        <v>35</v>
      </c>
      <c r="T42" s="1018">
        <f t="shared" si="0"/>
        <v>23.8</v>
      </c>
      <c r="U42" s="1018">
        <f t="shared" si="0"/>
        <v>33.9</v>
      </c>
      <c r="V42" s="1018">
        <f t="shared" si="0"/>
        <v>35.5</v>
      </c>
      <c r="W42" s="1018">
        <f t="shared" si="0"/>
        <v>30.4</v>
      </c>
      <c r="X42" s="1018">
        <f t="shared" si="0"/>
        <v>34.8</v>
      </c>
      <c r="Y42" s="1018">
        <f t="shared" si="0"/>
        <v>42.6</v>
      </c>
      <c r="Z42" s="1018">
        <f t="shared" si="0"/>
        <v>43.7</v>
      </c>
      <c r="AA42" s="1018">
        <f t="shared" si="0"/>
        <v>38.1</v>
      </c>
      <c r="AB42" s="1018">
        <f t="shared" si="0"/>
        <v>38.7</v>
      </c>
      <c r="AC42" s="1018">
        <f t="shared" si="0"/>
        <v>44.6</v>
      </c>
      <c r="AD42" s="1018">
        <f t="shared" si="0"/>
        <v>47.6</v>
      </c>
      <c r="AE42" s="1018">
        <f t="shared" si="0"/>
        <v>40.5</v>
      </c>
      <c r="AF42" s="1018">
        <f t="shared" si="0"/>
        <v>44</v>
      </c>
      <c r="AG42" s="1018">
        <f t="shared" si="0"/>
        <v>47.1</v>
      </c>
      <c r="AH42" s="1018">
        <f t="shared" si="0"/>
        <v>40.2</v>
      </c>
      <c r="AI42" s="1018">
        <f t="shared" si="0"/>
        <v>31.8</v>
      </c>
      <c r="AJ42" s="1018">
        <f t="shared" si="0"/>
        <v>28</v>
      </c>
      <c r="AK42" s="1018">
        <f t="shared" si="0"/>
        <v>25</v>
      </c>
      <c r="AL42" s="1018">
        <f t="shared" si="0"/>
        <v>23</v>
      </c>
      <c r="AM42" s="1018">
        <f t="shared" si="0"/>
        <v>15</v>
      </c>
      <c r="AN42" s="1015"/>
      <c r="AO42" s="1015"/>
    </row>
    <row r="43" spans="3:41" ht="12.75">
      <c r="C43" s="1018"/>
      <c r="D43" s="1018"/>
      <c r="E43" s="1018"/>
      <c r="F43" s="1018"/>
      <c r="G43" s="1018"/>
      <c r="H43" s="1018"/>
      <c r="I43" s="1018"/>
      <c r="J43" s="1018"/>
      <c r="K43" s="1018"/>
      <c r="L43" s="1018"/>
      <c r="M43" s="1018"/>
      <c r="N43" s="1018"/>
      <c r="O43" s="1018"/>
      <c r="P43" s="1018"/>
      <c r="Q43" s="1018"/>
      <c r="R43" s="1018"/>
      <c r="S43" s="1018"/>
      <c r="T43" s="1018"/>
      <c r="U43" s="1018"/>
      <c r="V43" s="1018"/>
      <c r="W43" s="1018"/>
      <c r="X43" s="1018"/>
      <c r="Y43" s="1018"/>
      <c r="Z43" s="1018"/>
      <c r="AA43" s="1018"/>
      <c r="AB43" s="1018"/>
      <c r="AC43" s="1018"/>
      <c r="AD43" s="1018"/>
      <c r="AE43" s="1018"/>
      <c r="AF43" s="1018"/>
      <c r="AG43" s="1018"/>
      <c r="AH43" s="1018"/>
      <c r="AI43" s="1018"/>
      <c r="AJ43" s="1018"/>
      <c r="AK43" s="1018"/>
      <c r="AL43" s="1018"/>
      <c r="AN43" s="1015"/>
      <c r="AO43" s="1015"/>
    </row>
    <row r="44" spans="3:41" ht="12.75">
      <c r="C44" s="1018"/>
      <c r="D44" s="1018"/>
      <c r="E44" s="1018"/>
      <c r="F44" s="1018"/>
      <c r="G44" s="1018"/>
      <c r="H44" s="1018"/>
      <c r="I44" s="1018"/>
      <c r="J44" s="1018"/>
      <c r="K44" s="1018"/>
      <c r="L44" s="1018"/>
      <c r="M44" s="1018"/>
      <c r="N44" s="1018"/>
      <c r="O44" s="1018"/>
      <c r="P44" s="1018"/>
      <c r="Q44" s="1018"/>
      <c r="R44" s="1018"/>
      <c r="S44" s="1018"/>
      <c r="T44" s="1018"/>
      <c r="U44" s="1018"/>
      <c r="V44" s="1018"/>
      <c r="W44" s="1018"/>
      <c r="X44" s="1018"/>
      <c r="Y44" s="1018"/>
      <c r="Z44" s="1018"/>
      <c r="AA44" s="1018"/>
      <c r="AB44" s="1018"/>
      <c r="AC44" s="1018"/>
      <c r="AD44" s="1018"/>
      <c r="AE44" s="1018"/>
      <c r="AF44" s="1018"/>
      <c r="AG44" s="1018"/>
      <c r="AH44" s="1018"/>
      <c r="AI44" s="1018"/>
      <c r="AJ44" s="1018"/>
      <c r="AK44" s="1018"/>
      <c r="AL44" s="1018"/>
      <c r="AN44" s="1015"/>
      <c r="AO44" s="1015"/>
    </row>
    <row r="45" spans="40:41" ht="12.75">
      <c r="AN45" s="1015"/>
      <c r="AO45" s="1015"/>
    </row>
    <row r="46" spans="40:41" ht="12.75">
      <c r="AN46" s="1015"/>
      <c r="AO46" s="1015"/>
    </row>
    <row r="47" spans="1:41" ht="12.75">
      <c r="A47" s="416" t="s">
        <v>456</v>
      </c>
      <c r="B47" s="416" t="s">
        <v>203</v>
      </c>
      <c r="R47" s="416">
        <v>1.8</v>
      </c>
      <c r="S47" s="416">
        <v>1.6</v>
      </c>
      <c r="T47" s="416">
        <v>1.2</v>
      </c>
      <c r="U47" s="416">
        <v>1.8</v>
      </c>
      <c r="V47" s="416">
        <v>1.7</v>
      </c>
      <c r="W47" s="416">
        <v>1.7</v>
      </c>
      <c r="X47" s="416">
        <v>1.8</v>
      </c>
      <c r="Y47" s="416">
        <v>1.7</v>
      </c>
      <c r="Z47" s="416">
        <v>1.7</v>
      </c>
      <c r="AA47" s="416">
        <v>1.8</v>
      </c>
      <c r="AB47" s="416">
        <v>1.7</v>
      </c>
      <c r="AC47" s="416">
        <v>1.7</v>
      </c>
      <c r="AN47" s="1015"/>
      <c r="AO47" s="1015"/>
    </row>
    <row r="48" spans="1:41" ht="12.75">
      <c r="A48" s="416" t="s">
        <v>456</v>
      </c>
      <c r="B48" s="416" t="s">
        <v>205</v>
      </c>
      <c r="C48" s="416">
        <v>0.6</v>
      </c>
      <c r="D48" s="416">
        <v>0.6</v>
      </c>
      <c r="E48" s="416">
        <v>0.6</v>
      </c>
      <c r="F48" s="416">
        <v>0.6</v>
      </c>
      <c r="G48" s="416">
        <v>0.8</v>
      </c>
      <c r="H48" s="416">
        <v>2.6</v>
      </c>
      <c r="I48" s="416">
        <v>3.6</v>
      </c>
      <c r="J48" s="416">
        <v>3.3</v>
      </c>
      <c r="K48" s="416">
        <v>3.6</v>
      </c>
      <c r="L48" s="416">
        <v>3.4</v>
      </c>
      <c r="M48" s="416">
        <v>3.6</v>
      </c>
      <c r="N48" s="416">
        <v>3.4</v>
      </c>
      <c r="O48" s="416">
        <v>3.4</v>
      </c>
      <c r="P48" s="416">
        <v>3.7</v>
      </c>
      <c r="Q48" s="416">
        <v>3.1</v>
      </c>
      <c r="R48" s="416">
        <v>7.4</v>
      </c>
      <c r="S48" s="416">
        <v>6.4</v>
      </c>
      <c r="T48" s="416">
        <v>2.4</v>
      </c>
      <c r="U48" s="416">
        <v>3.5</v>
      </c>
      <c r="V48" s="416">
        <v>3.4</v>
      </c>
      <c r="W48" s="416">
        <v>3.4</v>
      </c>
      <c r="X48" s="416">
        <v>3.5</v>
      </c>
      <c r="Y48" s="416">
        <v>3.4</v>
      </c>
      <c r="Z48" s="416">
        <v>3.4</v>
      </c>
      <c r="AA48" s="416">
        <v>3.5</v>
      </c>
      <c r="AB48" s="416">
        <v>3.4</v>
      </c>
      <c r="AC48" s="416">
        <v>3.4</v>
      </c>
      <c r="AD48" s="416">
        <v>0.3</v>
      </c>
      <c r="AE48" s="416">
        <v>0.2</v>
      </c>
      <c r="AF48" s="416">
        <v>0.2</v>
      </c>
      <c r="AG48" s="416">
        <v>0.3</v>
      </c>
      <c r="AH48" s="416">
        <v>0.3</v>
      </c>
      <c r="AN48" s="1015"/>
      <c r="AO48" s="1015"/>
    </row>
    <row r="49" spans="2:41" ht="12.75">
      <c r="B49" s="416" t="s">
        <v>460</v>
      </c>
      <c r="R49" s="416">
        <v>0</v>
      </c>
      <c r="S49" s="416">
        <v>4</v>
      </c>
      <c r="T49" s="416">
        <v>5</v>
      </c>
      <c r="U49" s="416">
        <v>6</v>
      </c>
      <c r="V49" s="416">
        <v>6</v>
      </c>
      <c r="W49" s="416">
        <v>6</v>
      </c>
      <c r="X49" s="416">
        <v>6</v>
      </c>
      <c r="Y49" s="416">
        <v>6</v>
      </c>
      <c r="Z49" s="416">
        <v>7</v>
      </c>
      <c r="AA49" s="416">
        <v>8</v>
      </c>
      <c r="AB49" s="416">
        <v>13</v>
      </c>
      <c r="AC49" s="416">
        <v>15</v>
      </c>
      <c r="AD49" s="416">
        <v>20</v>
      </c>
      <c r="AE49" s="416">
        <v>29</v>
      </c>
      <c r="AF49" s="416">
        <v>32</v>
      </c>
      <c r="AG49" s="416">
        <v>34</v>
      </c>
      <c r="AH49" s="416">
        <v>32</v>
      </c>
      <c r="AI49" s="416">
        <v>28</v>
      </c>
      <c r="AJ49" s="416">
        <v>28</v>
      </c>
      <c r="AK49" s="416">
        <v>25</v>
      </c>
      <c r="AL49" s="416">
        <v>23</v>
      </c>
      <c r="AM49" s="416">
        <v>15</v>
      </c>
      <c r="AN49" s="1015"/>
      <c r="AO49" s="1015"/>
    </row>
    <row r="50" ht="12.75">
      <c r="S50" s="416">
        <v>0</v>
      </c>
    </row>
    <row r="51" spans="18:39" ht="12.75">
      <c r="R51" s="416">
        <v>12.1</v>
      </c>
      <c r="S51" s="416">
        <v>12.1</v>
      </c>
      <c r="T51" s="416">
        <v>12.1</v>
      </c>
      <c r="U51" s="416">
        <v>12.1</v>
      </c>
      <c r="V51" s="416">
        <v>12.1</v>
      </c>
      <c r="W51" s="416">
        <v>12.1</v>
      </c>
      <c r="X51" s="416">
        <v>12.1</v>
      </c>
      <c r="Y51" s="416">
        <v>12.1</v>
      </c>
      <c r="Z51" s="416">
        <v>12.1</v>
      </c>
      <c r="AA51" s="416">
        <v>12.1</v>
      </c>
      <c r="AB51" s="416">
        <v>12.1</v>
      </c>
      <c r="AC51" s="416">
        <v>12.1</v>
      </c>
      <c r="AD51" s="416">
        <v>12.1</v>
      </c>
      <c r="AE51" s="416">
        <v>12.1</v>
      </c>
      <c r="AF51" s="416">
        <v>12.1</v>
      </c>
      <c r="AG51" s="416">
        <v>12.1</v>
      </c>
      <c r="AH51" s="416">
        <v>12.1</v>
      </c>
      <c r="AI51" s="416">
        <v>12.1</v>
      </c>
      <c r="AJ51" s="416">
        <v>12.1</v>
      </c>
      <c r="AK51" s="416">
        <v>12.1</v>
      </c>
      <c r="AL51" s="416">
        <v>12.1</v>
      </c>
      <c r="AM51" s="416">
        <v>12.1</v>
      </c>
    </row>
    <row r="52" spans="18:39" ht="12.75">
      <c r="R52" s="598">
        <f>+R51*R49</f>
        <v>0</v>
      </c>
      <c r="S52" s="598">
        <f aca="true" t="shared" si="1" ref="S52:AC52">+S51*S49</f>
        <v>48.4</v>
      </c>
      <c r="T52" s="598">
        <f t="shared" si="1"/>
        <v>60.5</v>
      </c>
      <c r="U52" s="598">
        <f t="shared" si="1"/>
        <v>72.6</v>
      </c>
      <c r="V52" s="598">
        <f t="shared" si="1"/>
        <v>72.6</v>
      </c>
      <c r="W52" s="598">
        <f t="shared" si="1"/>
        <v>72.6</v>
      </c>
      <c r="X52" s="598">
        <f t="shared" si="1"/>
        <v>72.6</v>
      </c>
      <c r="Y52" s="598">
        <f t="shared" si="1"/>
        <v>72.6</v>
      </c>
      <c r="Z52" s="598">
        <f t="shared" si="1"/>
        <v>84.7</v>
      </c>
      <c r="AA52" s="598">
        <f t="shared" si="1"/>
        <v>96.8</v>
      </c>
      <c r="AB52" s="598">
        <f t="shared" si="1"/>
        <v>157.29999999999998</v>
      </c>
      <c r="AC52" s="598">
        <f t="shared" si="1"/>
        <v>181.5</v>
      </c>
      <c r="AD52" s="416">
        <f aca="true" t="shared" si="2" ref="AD52:AM52">+AD51*AD49</f>
        <v>242</v>
      </c>
      <c r="AE52" s="416">
        <f t="shared" si="2"/>
        <v>350.9</v>
      </c>
      <c r="AF52" s="416">
        <f t="shared" si="2"/>
        <v>387.2</v>
      </c>
      <c r="AG52" s="416">
        <f t="shared" si="2"/>
        <v>411.4</v>
      </c>
      <c r="AH52" s="416">
        <f t="shared" si="2"/>
        <v>387.2</v>
      </c>
      <c r="AI52" s="416">
        <f t="shared" si="2"/>
        <v>338.8</v>
      </c>
      <c r="AJ52" s="416">
        <f t="shared" si="2"/>
        <v>338.8</v>
      </c>
      <c r="AK52" s="416">
        <f t="shared" si="2"/>
        <v>302.5</v>
      </c>
      <c r="AL52" s="416">
        <f t="shared" si="2"/>
        <v>278.3</v>
      </c>
      <c r="AM52" s="416">
        <f t="shared" si="2"/>
        <v>181.5</v>
      </c>
    </row>
    <row r="53" ht="12.75"/>
    <row r="54" spans="29:30" ht="12.75">
      <c r="AC54" s="416">
        <f>SUM(R52:AC52)</f>
        <v>992.1999999999999</v>
      </c>
      <c r="AD54" s="416">
        <f>SUM(AD52:AM52)</f>
        <v>3218.6000000000004</v>
      </c>
    </row>
    <row r="55" spans="29:30" ht="12.75">
      <c r="AC55" s="416">
        <v>0.9</v>
      </c>
      <c r="AD55" s="416">
        <v>3.3</v>
      </c>
    </row>
  </sheetData>
  <printOptions gridLines="1"/>
  <pageMargins left="1.04" right="0.21" top="0.64" bottom="0.65" header="0.5" footer="0.5"/>
  <pageSetup horizontalDpi="600" verticalDpi="600" orientation="landscape" paperSize="218" scale="60" r:id="rId2"/>
  <headerFooter alignWithMargins="0">
    <oddFooter>&amp;R&amp;F            &amp;A          &amp;D   &amp;T</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rstrykowsky</cp:lastModifiedBy>
  <cp:lastPrinted>2007-05-31T13:14:19Z</cp:lastPrinted>
  <dcterms:created xsi:type="dcterms:W3CDTF">2005-10-17T18:42:25Z</dcterms:created>
  <dcterms:modified xsi:type="dcterms:W3CDTF">2007-07-27T16:37:39Z</dcterms:modified>
  <cp:category/>
  <cp:version/>
  <cp:contentType/>
  <cp:contentStatus/>
</cp:coreProperties>
</file>