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91" yWindow="1125" windowWidth="17460" windowHeight="11925" tabRatio="434" activeTab="1"/>
  </bookViews>
  <sheets>
    <sheet name="est sheet" sheetId="1" r:id="rId1"/>
    <sheet name="summary" sheetId="2" r:id="rId2"/>
  </sheets>
  <definedNames>
    <definedName name="a">'est sheet'!$E$13</definedName>
    <definedName name="Ai">'est sheet'!$K$11</definedName>
    <definedName name="At">'est sheet'!$O$11</definedName>
    <definedName name="b">'est sheet'!$E$12</definedName>
    <definedName name="bt">'est sheet'!$O$10</definedName>
    <definedName name="CCi">'est sheet'!$K$16</definedName>
    <definedName name="Ci">'est sheet'!$K$15</definedName>
    <definedName name="k">'est sheet'!$E$16</definedName>
    <definedName name="Ka">'est sheet'!$K$8</definedName>
    <definedName name="Ki">'est sheet'!$E$18</definedName>
    <definedName name="Kn">'est sheet'!$K$6</definedName>
    <definedName name="La">'est sheet'!$K$12</definedName>
    <definedName name="N">'est sheet'!$E$7</definedName>
    <definedName name="ni">'est sheet'!$E$8</definedName>
    <definedName name="np">'est sheet'!$E$14</definedName>
    <definedName name="Nt">'est sheet'!$O$12</definedName>
    <definedName name="p">'est sheet'!$K$19</definedName>
    <definedName name="pc">'est sheet'!$E$15</definedName>
    <definedName name="pi">'est sheet'!$K$13</definedName>
    <definedName name="_xlnm.Print_Area" localSheetId="1">'summary'!$A$1:$M$41</definedName>
    <definedName name="Ra">'est sheet'!$E$6</definedName>
    <definedName name="S">'est sheet'!$E$9</definedName>
    <definedName name="St">'est sheet'!$O$9</definedName>
    <definedName name="t">'est sheet'!$E$11</definedName>
    <definedName name="We">'est sheet'!$K$14</definedName>
    <definedName name="Wi">'est sheet'!$K$9</definedName>
    <definedName name="x">'est sheet'!$O$16</definedName>
    <definedName name="Zc">'est sheet'!$K$18</definedName>
    <definedName name="Zh">'est sheet'!$K$17</definedName>
    <definedName name="Zi">'est sheet'!$K$10</definedName>
  </definedNames>
  <calcPr fullCalcOnLoad="1"/>
</workbook>
</file>

<file path=xl/sharedStrings.xml><?xml version="1.0" encoding="utf-8"?>
<sst xmlns="http://schemas.openxmlformats.org/spreadsheetml/2006/main" count="320" uniqueCount="209">
  <si>
    <t>All material costs are direct FY-99$.  LAB &amp; S/C labor fully loaded.</t>
  </si>
  <si>
    <t>Units are in inches, dollars, and lbs</t>
  </si>
  <si>
    <t>Ra</t>
  </si>
  <si>
    <t>mean radius of torus</t>
  </si>
  <si>
    <t>N</t>
  </si>
  <si>
    <t>number of periods</t>
  </si>
  <si>
    <t>(Assy)</t>
  </si>
  <si>
    <t>Tile Average Sizes</t>
  </si>
  <si>
    <t>ni</t>
  </si>
  <si>
    <t>Ka</t>
  </si>
  <si>
    <t>Pre-assy /dis-assy reqd or not(1,0)</t>
  </si>
  <si>
    <t>S</t>
  </si>
  <si>
    <t>Wi</t>
  </si>
  <si>
    <t>lab labor cost/hr</t>
  </si>
  <si>
    <t xml:space="preserve">St = </t>
  </si>
  <si>
    <t>poloidal dimen of tile</t>
  </si>
  <si>
    <t>torus</t>
  </si>
  <si>
    <t>Zi</t>
  </si>
  <si>
    <t>inconel cost/lb</t>
  </si>
  <si>
    <t xml:space="preserve">bt = </t>
  </si>
  <si>
    <t xml:space="preserve">toroidal width of tile </t>
  </si>
  <si>
    <t>t</t>
  </si>
  <si>
    <t>Ai</t>
  </si>
  <si>
    <t>cost of programming NC tapes(Ea)</t>
  </si>
  <si>
    <t xml:space="preserve">At = </t>
  </si>
  <si>
    <t>area of average tile</t>
  </si>
  <si>
    <t>b</t>
  </si>
  <si>
    <t>rib lateral thickness</t>
  </si>
  <si>
    <t>La</t>
  </si>
  <si>
    <t>purchased fab/labor cost/hr</t>
  </si>
  <si>
    <t xml:space="preserve">Nt = </t>
  </si>
  <si>
    <t>number of tiles per period</t>
  </si>
  <si>
    <t>a</t>
  </si>
  <si>
    <t>rib radial thickness</t>
  </si>
  <si>
    <t>pi</t>
  </si>
  <si>
    <t>p</t>
  </si>
  <si>
    <t>np</t>
  </si>
  <si>
    <t>We</t>
  </si>
  <si>
    <t>welding time per inch</t>
  </si>
  <si>
    <t>pc</t>
  </si>
  <si>
    <t>density of copper</t>
  </si>
  <si>
    <t>Ci</t>
  </si>
  <si>
    <t>graphite cost per lb</t>
  </si>
  <si>
    <t>K(welded)</t>
  </si>
  <si>
    <t>component used,1</t>
  </si>
  <si>
    <t>CCi</t>
  </si>
  <si>
    <t>carbon carbon cost per lb</t>
  </si>
  <si>
    <t xml:space="preserve">x = </t>
  </si>
  <si>
    <t>component not used,0</t>
  </si>
  <si>
    <t>Zh</t>
  </si>
  <si>
    <t>hardware cost per lb(SS)</t>
  </si>
  <si>
    <t>Ki(PFCs)</t>
  </si>
  <si>
    <t>Zc</t>
  </si>
  <si>
    <t>copper cost per lb</t>
  </si>
  <si>
    <t>density of material(incon.)</t>
  </si>
  <si>
    <t>MATERIAL</t>
  </si>
  <si>
    <t xml:space="preserve">NC TAPE </t>
  </si>
  <si>
    <t>MACHINING/FABRICATION</t>
  </si>
  <si>
    <t>WELDING</t>
  </si>
  <si>
    <t>ENGINEERING</t>
  </si>
  <si>
    <t>TOTAL</t>
  </si>
  <si>
    <t>WEIGHT</t>
  </si>
  <si>
    <t>SUBTOTAL</t>
  </si>
  <si>
    <t>FAB TIME</t>
  </si>
  <si>
    <t xml:space="preserve"> FAB TIME</t>
  </si>
  <si>
    <t>COST</t>
  </si>
  <si>
    <t>AREA</t>
  </si>
  <si>
    <t>VOLUME</t>
  </si>
  <si>
    <t>Ea</t>
  </si>
  <si>
    <t>WT</t>
  </si>
  <si>
    <t>MATL COST</t>
  </si>
  <si>
    <t>FAB COST</t>
  </si>
  <si>
    <t>TESTING</t>
  </si>
  <si>
    <t>Title 1</t>
  </si>
  <si>
    <t>Detail</t>
  </si>
  <si>
    <t>Analysis</t>
  </si>
  <si>
    <t>WBS</t>
  </si>
  <si>
    <t>in^2</t>
  </si>
  <si>
    <t>in^3</t>
  </si>
  <si>
    <t>lbs</t>
  </si>
  <si>
    <t>$</t>
  </si>
  <si>
    <t xml:space="preserve">$ </t>
  </si>
  <si>
    <t>hrs</t>
  </si>
  <si>
    <t>INCH</t>
  </si>
  <si>
    <t>Liner Assy</t>
  </si>
  <si>
    <t>NA</t>
  </si>
  <si>
    <t>Mounting hardware</t>
  </si>
  <si>
    <t>Thermal blankets</t>
  </si>
  <si>
    <t xml:space="preserve">      press blanks</t>
  </si>
  <si>
    <t xml:space="preserve">      assy into periods</t>
  </si>
  <si>
    <t xml:space="preserve">      fixturing</t>
  </si>
  <si>
    <t>Na</t>
  </si>
  <si>
    <t>Access Ports</t>
  </si>
  <si>
    <t>Diagnostic ports</t>
  </si>
  <si>
    <t>ea</t>
  </si>
  <si>
    <t>Coolant lines</t>
  </si>
  <si>
    <t>(gpm)</t>
  </si>
  <si>
    <t>sub</t>
  </si>
  <si>
    <t>• Modular coils</t>
  </si>
  <si>
    <t>Mounts</t>
  </si>
  <si>
    <t>NB armor</t>
  </si>
  <si>
    <t>Brackets</t>
  </si>
  <si>
    <t>Pre/Dis-Assy</t>
  </si>
  <si>
    <t>PFC R&amp;D</t>
  </si>
  <si>
    <t>FAB</t>
  </si>
  <si>
    <t>liner wt</t>
  </si>
  <si>
    <t>COST SUMMARY</t>
  </si>
  <si>
    <t>Notes</t>
  </si>
  <si>
    <t>K$</t>
  </si>
  <si>
    <t>% Budget</t>
  </si>
  <si>
    <t>GRAND TOTAL</t>
  </si>
  <si>
    <t>(no contingency)</t>
  </si>
  <si>
    <t>Engineering</t>
  </si>
  <si>
    <t>Ports</t>
  </si>
  <si>
    <t>Support structure</t>
  </si>
  <si>
    <t>Blankets</t>
  </si>
  <si>
    <t>Material</t>
  </si>
  <si>
    <t>Testing</t>
  </si>
  <si>
    <t>Leak,welding</t>
  </si>
  <si>
    <t>PFC</t>
  </si>
  <si>
    <t>Tiles</t>
  </si>
  <si>
    <t>NB</t>
  </si>
  <si>
    <t>Limiters</t>
  </si>
  <si>
    <t>Installation</t>
  </si>
  <si>
    <t>NC tapes</t>
  </si>
  <si>
    <t>R&amp;D</t>
  </si>
  <si>
    <t>R&amp;D with Engr and matl</t>
  </si>
  <si>
    <t>Total</t>
  </si>
  <si>
    <t>• LI-383 plasma</t>
  </si>
  <si>
    <t>• 3 periods</t>
  </si>
  <si>
    <t>Description</t>
  </si>
  <si>
    <t>subassemblies.</t>
  </si>
  <si>
    <t>number of acess ports</t>
  </si>
  <si>
    <t>liner surface area</t>
  </si>
  <si>
    <t>Estimate Basis</t>
  </si>
  <si>
    <t>•Three large access port covers</t>
  </si>
  <si>
    <t xml:space="preserve">liner fabricated pieces per half-period </t>
  </si>
  <si>
    <t>Limiters(toroidal fixed)</t>
  </si>
  <si>
    <t>Limiters(poloid. Mov.)</t>
  </si>
  <si>
    <t xml:space="preserve">    dies(4 reqd)</t>
  </si>
  <si>
    <t>half-period(24 total pieces)</t>
  </si>
  <si>
    <t xml:space="preserve">PFC </t>
  </si>
  <si>
    <t>bracket plates</t>
  </si>
  <si>
    <t>liner mount studs</t>
  </si>
  <si>
    <t>Engineering Dwg Tile Assy's</t>
  </si>
  <si>
    <t>w/cm^2</t>
  </si>
  <si>
    <t>heat/cool tracing headers</t>
  </si>
  <si>
    <t>ribs(21 reqd) 7 styles</t>
  </si>
  <si>
    <t>Thermal</t>
  </si>
  <si>
    <t>Liner</t>
  </si>
  <si>
    <t>Install.</t>
  </si>
  <si>
    <t>Weld on mount studs</t>
  </si>
  <si>
    <t>Design PFCs</t>
  </si>
  <si>
    <t>Limiters(includes design)</t>
  </si>
  <si>
    <t>NB armor(includes design)</t>
  </si>
  <si>
    <t xml:space="preserve">Design (title 1&amp;2)excludes PFCs           </t>
  </si>
  <si>
    <t>Excluding R&amp;D &amp;PFCs</t>
  </si>
  <si>
    <t>Includes estimates back from graphite manufacturer</t>
  </si>
  <si>
    <t>• No separate  NB targets</t>
  </si>
  <si>
    <t>• No separate limiters</t>
  </si>
  <si>
    <t>• PFCs molded carbon, baked to 350 C, mounted on ring frames. 50% cverage initially</t>
  </si>
  <si>
    <t>dies(21 reqd)</t>
  </si>
  <si>
    <t>Port interface, flgs, bellows, tracing, etc.</t>
  </si>
  <si>
    <r>
      <t xml:space="preserve">NCSX VACUUM LINER COST ALGORITHM - </t>
    </r>
    <r>
      <rPr>
        <sz val="10"/>
        <rFont val="Helv"/>
        <family val="0"/>
      </rPr>
      <t>2/22/01</t>
    </r>
  </si>
  <si>
    <t>Vessel supports</t>
  </si>
  <si>
    <t>Vessel Coolant lines</t>
  </si>
  <si>
    <t>Vessel fab</t>
  </si>
  <si>
    <t>Welded lvessel shell</t>
  </si>
  <si>
    <t>Vessel Installation/assy</t>
  </si>
  <si>
    <t>• Inconel vacuum vessel</t>
  </si>
  <si>
    <t xml:space="preserve">• Cryo enclosure </t>
  </si>
  <si>
    <t>• Vessel maintained at 150 C.</t>
  </si>
  <si>
    <t>•Tracing welded onto vessel</t>
  </si>
  <si>
    <t xml:space="preserve"> • Vessel pressed formed</t>
  </si>
  <si>
    <t>• Vessel fabricated in three</t>
  </si>
  <si>
    <t>• Vessel formed in 4 pieces per</t>
  </si>
  <si>
    <t>Vessel period mating flgs</t>
  </si>
  <si>
    <t>Welded Vessel Shell</t>
  </si>
  <si>
    <t>• 90 "add-on" ports</t>
  </si>
  <si>
    <t>heat shields(ss)</t>
  </si>
  <si>
    <t>mold 100% of tiles</t>
  </si>
  <si>
    <t>install 100% of tiles/100% of peripherals</t>
  </si>
  <si>
    <t>Assumptions</t>
  </si>
  <si>
    <t xml:space="preserve">PFCs are molded C-C tiles based on concept developed with BFGoodrich. </t>
  </si>
  <si>
    <t>PFCs are attached to uncooled ribs stud-welded to interior of VV</t>
  </si>
  <si>
    <t>PFCs are cooled by radiation to the cooled vacuum vessel.  Hotter tiles also radiate to cooler tiles</t>
  </si>
  <si>
    <t>100 % coverage of molded tiles, no separate limiters of NB armor</t>
  </si>
  <si>
    <t>$k</t>
  </si>
  <si>
    <t>comment</t>
  </si>
  <si>
    <t>1 man-year</t>
  </si>
  <si>
    <t>2 manyears + 120 hours per tile type+320 hrs per rib+5 weeks for stud layout</t>
  </si>
  <si>
    <t>studs and ribs only</t>
  </si>
  <si>
    <t>material included in procurement</t>
  </si>
  <si>
    <t>liner (VV) thickness</t>
  </si>
  <si>
    <t>Fab PFCs and ribs(100%)</t>
  </si>
  <si>
    <t>Install PFCs and ribs (100%)</t>
  </si>
  <si>
    <t>2 hours per stud to locate and weld</t>
  </si>
  <si>
    <t>Procure</t>
  </si>
  <si>
    <t>Install</t>
  </si>
  <si>
    <t>Design / analysis</t>
  </si>
  <si>
    <t>year 1</t>
  </si>
  <si>
    <t>year 2</t>
  </si>
  <si>
    <t>year 3</t>
  </si>
  <si>
    <t>year 4</t>
  </si>
  <si>
    <t>NBI armor only</t>
  </si>
  <si>
    <t>coverage</t>
  </si>
  <si>
    <t>hours</t>
  </si>
  <si>
    <t>HOURS</t>
  </si>
  <si>
    <t>2 manyears + 120 hours per tile type+320 hrs per rib+5 weeks for stud layout (3600 engr 6500 dsn)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</si>
</sst>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_(* #,##0.0_);_(* \(#,##0.0\);_(* &quot;-&quot;??_);_(@_)"/>
    <numFmt numFmtId="172" formatCode="_(* #,##0_);_(* \(#,##0\);_(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color indexed="8"/>
      <name val="Helv"/>
      <family val="0"/>
    </font>
    <font>
      <u val="single"/>
      <sz val="10"/>
      <name val="Helv"/>
      <family val="0"/>
    </font>
    <font>
      <b/>
      <sz val="10"/>
      <name val="Helv"/>
      <family val="0"/>
    </font>
    <font>
      <sz val="10"/>
      <color indexed="8"/>
      <name val="Symbol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0"/>
      <name val="Geneva"/>
      <family val="0"/>
    </font>
    <font>
      <b/>
      <sz val="10"/>
      <color indexed="8"/>
      <name val="Helv"/>
      <family val="0"/>
    </font>
    <font>
      <sz val="10"/>
      <color indexed="8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0" borderId="0" xfId="0" applyFont="1" applyFill="1" applyAlignment="1">
      <alignment/>
    </xf>
    <xf numFmtId="1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1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0" borderId="0" xfId="0" applyAlignment="1">
      <alignment horizontal="left"/>
    </xf>
    <xf numFmtId="0" fontId="8" fillId="2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6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7" fillId="0" borderId="0" xfId="0" applyFont="1" applyBorder="1" applyAlignment="1">
      <alignment/>
    </xf>
    <xf numFmtId="1" fontId="7" fillId="0" borderId="2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0" fillId="0" borderId="6" xfId="0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9" fillId="2" borderId="0" xfId="0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" fontId="9" fillId="2" borderId="0" xfId="0" applyNumberFormat="1" applyFont="1" applyFill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4" fontId="1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0" fontId="1" fillId="0" borderId="6" xfId="0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0" fillId="0" borderId="6" xfId="0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1" fontId="0" fillId="0" borderId="6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2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left"/>
    </xf>
    <xf numFmtId="172" fontId="0" fillId="4" borderId="0" xfId="15" applyNumberForma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172" fontId="0" fillId="4" borderId="0" xfId="15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center"/>
    </xf>
    <xf numFmtId="1" fontId="4" fillId="5" borderId="0" xfId="0" applyNumberFormat="1" applyFont="1" applyFill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64" fontId="13" fillId="5" borderId="0" xfId="0" applyNumberFormat="1" applyFont="1" applyFill="1" applyAlignment="1">
      <alignment horizontal="center"/>
    </xf>
    <xf numFmtId="164" fontId="13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164" fontId="13" fillId="7" borderId="0" xfId="0" applyNumberFormat="1" applyFont="1" applyFill="1" applyAlignment="1">
      <alignment horizontal="center"/>
    </xf>
    <xf numFmtId="1" fontId="7" fillId="7" borderId="17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164" fontId="13" fillId="8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69</xdr:row>
      <xdr:rowOff>47625</xdr:rowOff>
    </xdr:from>
    <xdr:to>
      <xdr:col>16</xdr:col>
      <xdr:colOff>133350</xdr:colOff>
      <xdr:row>94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4743450" y="11430000"/>
          <a:ext cx="8429625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5"/>
  <sheetViews>
    <sheetView zoomScale="75" zoomScaleNormal="75" workbookViewId="0" topLeftCell="A56">
      <selection activeCell="D99" sqref="D99"/>
    </sheetView>
  </sheetViews>
  <sheetFormatPr defaultColWidth="9.00390625" defaultRowHeight="12.75"/>
  <cols>
    <col min="1" max="1" width="25.375" style="0" customWidth="1"/>
    <col min="2" max="2" width="7.625" style="0" customWidth="1"/>
    <col min="3" max="3" width="20.75390625" style="0" customWidth="1"/>
    <col min="4" max="4" width="10.25390625" style="1" bestFit="1" customWidth="1"/>
    <col min="5" max="5" width="10.125" style="1" customWidth="1"/>
    <col min="6" max="6" width="7.75390625" style="1" customWidth="1"/>
    <col min="7" max="7" width="8.375" style="1" customWidth="1"/>
    <col min="8" max="8" width="11.25390625" style="1" customWidth="1"/>
    <col min="9" max="9" width="8.00390625" style="0" customWidth="1"/>
    <col min="10" max="10" width="9.375" style="0" customWidth="1"/>
    <col min="11" max="11" width="10.00390625" style="0" customWidth="1"/>
    <col min="12" max="12" width="10.375" style="3" customWidth="1"/>
    <col min="13" max="13" width="6.25390625" style="0" customWidth="1"/>
    <col min="14" max="14" width="10.125" style="0" customWidth="1"/>
    <col min="15" max="16" width="7.75390625" style="0" customWidth="1"/>
    <col min="17" max="17" width="14.75390625" style="0" customWidth="1"/>
    <col min="18" max="18" width="10.25390625" style="0" customWidth="1"/>
    <col min="19" max="19" width="12.125" style="0" customWidth="1"/>
    <col min="20" max="16384" width="11.375" style="0" customWidth="1"/>
  </cols>
  <sheetData>
    <row r="2" spans="1:20" ht="12.75">
      <c r="A2" s="40" t="s">
        <v>163</v>
      </c>
      <c r="B2" s="3"/>
      <c r="C2" s="3"/>
      <c r="D2" s="2"/>
      <c r="E2" s="2"/>
      <c r="F2" s="2"/>
      <c r="G2" s="2"/>
      <c r="H2" s="2"/>
      <c r="I2" s="3"/>
      <c r="J2" s="3"/>
      <c r="K2" s="3"/>
      <c r="M2" s="3"/>
      <c r="N2" s="66"/>
      <c r="O2" s="3"/>
      <c r="P2" s="3"/>
      <c r="Q2" s="3"/>
      <c r="R2" s="3"/>
      <c r="S2" s="3"/>
      <c r="T2" s="3"/>
    </row>
    <row r="3" spans="1:20" ht="12.75">
      <c r="A3" s="3" t="s">
        <v>157</v>
      </c>
      <c r="B3" s="3"/>
      <c r="C3" s="3"/>
      <c r="D3" s="2"/>
      <c r="E3" s="2"/>
      <c r="F3" s="2"/>
      <c r="G3" s="2"/>
      <c r="H3" s="2"/>
      <c r="I3" s="3"/>
      <c r="J3" s="3"/>
      <c r="K3" s="3"/>
      <c r="M3" s="3"/>
      <c r="N3" s="66"/>
      <c r="O3" s="3"/>
      <c r="P3" s="3"/>
      <c r="Q3" s="3"/>
      <c r="R3" s="3"/>
      <c r="S3" s="3"/>
      <c r="T3" s="3"/>
    </row>
    <row r="4" spans="1:20" ht="12.75">
      <c r="A4" s="38" t="s">
        <v>0</v>
      </c>
      <c r="B4" s="3"/>
      <c r="C4" s="3"/>
      <c r="D4" s="38"/>
      <c r="E4" s="2"/>
      <c r="F4"/>
      <c r="G4" s="48"/>
      <c r="H4" s="48"/>
      <c r="I4" s="48"/>
      <c r="M4" s="3"/>
      <c r="N4" s="3"/>
      <c r="O4" s="3"/>
      <c r="P4" s="3"/>
      <c r="Q4" s="3"/>
      <c r="R4" s="3"/>
      <c r="S4" s="3"/>
      <c r="T4" s="3"/>
    </row>
    <row r="5" spans="1:20" ht="12.75">
      <c r="A5" s="9" t="s">
        <v>1</v>
      </c>
      <c r="B5" s="9"/>
      <c r="C5" s="9"/>
      <c r="D5" s="9"/>
      <c r="E5" s="3"/>
      <c r="F5"/>
      <c r="G5"/>
      <c r="H5"/>
      <c r="M5" s="3"/>
      <c r="N5" s="3"/>
      <c r="O5" s="3"/>
      <c r="P5" s="3"/>
      <c r="Q5" s="3"/>
      <c r="R5" s="3"/>
      <c r="S5" s="3"/>
      <c r="T5" s="3"/>
    </row>
    <row r="6" spans="1:20" ht="12.75">
      <c r="A6" s="5" t="s">
        <v>2</v>
      </c>
      <c r="B6" s="4" t="s">
        <v>3</v>
      </c>
      <c r="C6" s="4"/>
      <c r="D6" s="4"/>
      <c r="E6" s="94" t="s">
        <v>85</v>
      </c>
      <c r="F6" s="3"/>
      <c r="G6" s="18"/>
      <c r="H6" s="17"/>
      <c r="I6" s="17"/>
      <c r="J6" s="17"/>
      <c r="K6" s="88"/>
      <c r="M6" s="3"/>
      <c r="N6" s="3"/>
      <c r="O6" s="3"/>
      <c r="P6" s="3"/>
      <c r="Q6" s="3"/>
      <c r="R6" s="3"/>
      <c r="S6" s="3"/>
      <c r="T6" s="3"/>
    </row>
    <row r="7" spans="1:20" ht="12.75">
      <c r="A7" s="5" t="s">
        <v>4</v>
      </c>
      <c r="B7" s="4" t="s">
        <v>5</v>
      </c>
      <c r="C7" s="4"/>
      <c r="D7" s="4"/>
      <c r="E7" s="87">
        <v>3</v>
      </c>
      <c r="F7" s="3"/>
      <c r="G7" s="18" t="s">
        <v>6</v>
      </c>
      <c r="H7" s="17"/>
      <c r="I7" s="17"/>
      <c r="J7" s="17"/>
      <c r="K7" s="88"/>
      <c r="M7" s="3"/>
      <c r="N7" s="12" t="s">
        <v>7</v>
      </c>
      <c r="O7" s="8"/>
      <c r="P7" s="8"/>
      <c r="Q7" s="8"/>
      <c r="R7" s="8"/>
      <c r="S7" s="8"/>
      <c r="T7" s="15"/>
    </row>
    <row r="8" spans="1:20" ht="12.75">
      <c r="A8" s="5" t="s">
        <v>8</v>
      </c>
      <c r="B8" s="4" t="s">
        <v>136</v>
      </c>
      <c r="C8" s="4"/>
      <c r="D8" s="4"/>
      <c r="E8" s="87">
        <f>4</f>
        <v>4</v>
      </c>
      <c r="F8" s="3"/>
      <c r="G8" s="18" t="s">
        <v>9</v>
      </c>
      <c r="H8" s="17" t="s">
        <v>10</v>
      </c>
      <c r="I8" s="17"/>
      <c r="J8" s="17"/>
      <c r="K8" s="88">
        <v>0</v>
      </c>
      <c r="M8" s="3"/>
      <c r="N8" s="8"/>
      <c r="O8" s="8"/>
      <c r="P8" s="8"/>
      <c r="Q8" s="8"/>
      <c r="R8" s="8"/>
      <c r="S8" s="8"/>
      <c r="T8" s="15"/>
    </row>
    <row r="9" spans="1:20" ht="12.75">
      <c r="A9" s="5" t="s">
        <v>11</v>
      </c>
      <c r="B9" s="13" t="s">
        <v>133</v>
      </c>
      <c r="C9" s="4"/>
      <c r="D9" s="4"/>
      <c r="E9" s="106">
        <f>63000</f>
        <v>63000</v>
      </c>
      <c r="F9" s="3"/>
      <c r="G9" s="5" t="s">
        <v>12</v>
      </c>
      <c r="H9" s="4" t="s">
        <v>13</v>
      </c>
      <c r="I9" s="4"/>
      <c r="J9" s="4"/>
      <c r="K9" s="87">
        <f>100</f>
        <v>100</v>
      </c>
      <c r="M9" s="3"/>
      <c r="N9" s="8" t="s">
        <v>14</v>
      </c>
      <c r="O9" s="86"/>
      <c r="P9" s="8"/>
      <c r="Q9" s="8" t="s">
        <v>15</v>
      </c>
      <c r="R9" s="8"/>
      <c r="S9" s="8"/>
      <c r="T9" s="15"/>
    </row>
    <row r="10" spans="1:20" ht="12.75">
      <c r="A10" s="5"/>
      <c r="B10" s="13" t="s">
        <v>16</v>
      </c>
      <c r="C10" s="4"/>
      <c r="D10" s="4"/>
      <c r="E10" s="87"/>
      <c r="F10" s="3"/>
      <c r="G10" s="5" t="s">
        <v>17</v>
      </c>
      <c r="H10" s="4" t="s">
        <v>18</v>
      </c>
      <c r="I10" s="4"/>
      <c r="J10" s="4"/>
      <c r="K10" s="87">
        <f>7.75</f>
        <v>7.75</v>
      </c>
      <c r="M10" s="3"/>
      <c r="N10" s="8" t="s">
        <v>19</v>
      </c>
      <c r="O10" s="95"/>
      <c r="P10" s="8"/>
      <c r="Q10" s="8" t="s">
        <v>20</v>
      </c>
      <c r="R10" s="8"/>
      <c r="S10" s="8"/>
      <c r="T10" s="15"/>
    </row>
    <row r="11" spans="1:20" ht="12.75">
      <c r="A11" s="5" t="s">
        <v>21</v>
      </c>
      <c r="B11" s="4" t="s">
        <v>193</v>
      </c>
      <c r="C11" s="4"/>
      <c r="D11" s="4"/>
      <c r="E11" s="87">
        <f>0.375</f>
        <v>0.375</v>
      </c>
      <c r="F11" s="3"/>
      <c r="G11" s="5" t="s">
        <v>22</v>
      </c>
      <c r="H11" s="4" t="s">
        <v>23</v>
      </c>
      <c r="I11" s="4"/>
      <c r="J11" s="4"/>
      <c r="K11" s="87">
        <f>400</f>
        <v>400</v>
      </c>
      <c r="M11" s="14"/>
      <c r="N11" s="8" t="s">
        <v>24</v>
      </c>
      <c r="O11" s="95">
        <f>S/126</f>
        <v>500</v>
      </c>
      <c r="P11" s="8"/>
      <c r="Q11" s="8" t="s">
        <v>25</v>
      </c>
      <c r="R11" s="8"/>
      <c r="S11" s="8"/>
      <c r="T11" s="15"/>
    </row>
    <row r="12" spans="1:20" ht="12.75">
      <c r="A12" s="5" t="s">
        <v>26</v>
      </c>
      <c r="B12" s="4" t="s">
        <v>27</v>
      </c>
      <c r="C12" s="4"/>
      <c r="D12" s="4"/>
      <c r="E12" s="87">
        <f>0.375</f>
        <v>0.375</v>
      </c>
      <c r="F12" s="3"/>
      <c r="G12" s="5" t="s">
        <v>28</v>
      </c>
      <c r="H12" s="4" t="s">
        <v>29</v>
      </c>
      <c r="I12" s="4"/>
      <c r="J12" s="4"/>
      <c r="K12" s="87">
        <f>60</f>
        <v>60</v>
      </c>
      <c r="M12" s="3"/>
      <c r="N12" s="8" t="s">
        <v>30</v>
      </c>
      <c r="O12" s="96">
        <f>126/3</f>
        <v>42</v>
      </c>
      <c r="P12" s="8"/>
      <c r="Q12" s="8" t="s">
        <v>31</v>
      </c>
      <c r="R12" s="8"/>
      <c r="S12" s="8"/>
      <c r="T12" s="15"/>
    </row>
    <row r="13" spans="1:20" ht="12.75">
      <c r="A13" s="5" t="s">
        <v>32</v>
      </c>
      <c r="B13" s="4" t="s">
        <v>33</v>
      </c>
      <c r="C13" s="4"/>
      <c r="D13" s="4"/>
      <c r="E13" s="87">
        <f>1.25</f>
        <v>1.25</v>
      </c>
      <c r="F13" s="3"/>
      <c r="G13" s="5" t="s">
        <v>34</v>
      </c>
      <c r="H13" s="49" t="s">
        <v>35</v>
      </c>
      <c r="I13" s="4"/>
      <c r="J13" s="4"/>
      <c r="K13" s="87">
        <f>3.14</f>
        <v>3.14</v>
      </c>
      <c r="M13" s="3"/>
      <c r="N13" s="8"/>
      <c r="O13" s="8"/>
      <c r="P13" s="8"/>
      <c r="Q13" s="8"/>
      <c r="R13" s="8"/>
      <c r="S13" s="8"/>
      <c r="T13" s="15"/>
    </row>
    <row r="14" spans="1:20" ht="12.75">
      <c r="A14" s="7" t="s">
        <v>36</v>
      </c>
      <c r="B14" s="8" t="s">
        <v>132</v>
      </c>
      <c r="C14" s="8"/>
      <c r="D14" s="8"/>
      <c r="E14" s="87"/>
      <c r="F14" s="3"/>
      <c r="G14" s="7" t="s">
        <v>37</v>
      </c>
      <c r="H14" s="8" t="s">
        <v>38</v>
      </c>
      <c r="I14" s="8"/>
      <c r="J14" s="8"/>
      <c r="K14" s="87">
        <f>0.072</f>
        <v>0.072</v>
      </c>
      <c r="M14" s="3"/>
      <c r="N14" s="3"/>
      <c r="O14" s="3"/>
      <c r="P14" s="3"/>
      <c r="Q14" s="3"/>
      <c r="R14" s="3"/>
      <c r="S14" s="3"/>
      <c r="T14" s="3"/>
    </row>
    <row r="15" spans="1:20" ht="12.75">
      <c r="A15" s="7" t="s">
        <v>39</v>
      </c>
      <c r="B15" s="8" t="s">
        <v>40</v>
      </c>
      <c r="C15" s="8"/>
      <c r="D15" s="8"/>
      <c r="E15" s="87">
        <f>0.323</f>
        <v>0.323</v>
      </c>
      <c r="F15" s="3"/>
      <c r="G15" s="7" t="s">
        <v>41</v>
      </c>
      <c r="H15" s="8" t="s">
        <v>42</v>
      </c>
      <c r="I15" s="8"/>
      <c r="J15" s="8"/>
      <c r="K15" s="87">
        <f>11</f>
        <v>11</v>
      </c>
      <c r="M15" s="15"/>
      <c r="N15" s="16" t="s">
        <v>144</v>
      </c>
      <c r="O15" s="3"/>
      <c r="P15" s="3"/>
      <c r="Q15" s="3"/>
      <c r="R15" s="3"/>
      <c r="S15" s="3"/>
      <c r="T15" s="3"/>
    </row>
    <row r="16" spans="1:20" ht="12.75">
      <c r="A16" s="7" t="s">
        <v>43</v>
      </c>
      <c r="B16" s="17" t="s">
        <v>44</v>
      </c>
      <c r="C16" s="17"/>
      <c r="D16" s="17"/>
      <c r="E16" s="88">
        <v>1</v>
      </c>
      <c r="F16" s="14"/>
      <c r="G16" s="7" t="s">
        <v>45</v>
      </c>
      <c r="H16" s="8" t="s">
        <v>46</v>
      </c>
      <c r="I16" s="8"/>
      <c r="J16" s="8"/>
      <c r="K16" s="87">
        <f>746</f>
        <v>746</v>
      </c>
      <c r="L16" s="14"/>
      <c r="M16" s="3"/>
      <c r="N16" s="19" t="s">
        <v>47</v>
      </c>
      <c r="O16" s="138">
        <f>21+8</f>
        <v>29</v>
      </c>
      <c r="P16" s="14"/>
      <c r="Q16" s="14"/>
      <c r="R16" s="14"/>
      <c r="S16" s="112">
        <f>12000000/(D28*2.54^2)</f>
        <v>20.898918202330787</v>
      </c>
      <c r="T16" s="3" t="s">
        <v>145</v>
      </c>
    </row>
    <row r="17" spans="1:20" ht="12.75">
      <c r="A17" s="8"/>
      <c r="B17" s="17" t="s">
        <v>48</v>
      </c>
      <c r="C17" s="17"/>
      <c r="D17" s="17"/>
      <c r="E17" s="88"/>
      <c r="F17" s="14"/>
      <c r="G17" s="7" t="s">
        <v>49</v>
      </c>
      <c r="H17" s="8" t="s">
        <v>50</v>
      </c>
      <c r="I17" s="8"/>
      <c r="J17" s="8"/>
      <c r="K17" s="87">
        <f>10</f>
        <v>10</v>
      </c>
      <c r="L17" s="14"/>
      <c r="M17" s="14"/>
      <c r="N17" s="14"/>
      <c r="O17" s="14"/>
      <c r="P17" s="14"/>
      <c r="Q17" s="14"/>
      <c r="R17" s="14"/>
      <c r="S17" s="14"/>
      <c r="T17" s="3"/>
    </row>
    <row r="18" spans="1:20" ht="12.75">
      <c r="A18" s="7" t="s">
        <v>51</v>
      </c>
      <c r="B18" s="17" t="s">
        <v>44</v>
      </c>
      <c r="C18" s="17"/>
      <c r="D18" s="17"/>
      <c r="E18" s="88">
        <v>0</v>
      </c>
      <c r="F18" s="14"/>
      <c r="G18" s="18" t="s">
        <v>52</v>
      </c>
      <c r="H18" s="17" t="s">
        <v>53</v>
      </c>
      <c r="I18" s="17"/>
      <c r="J18" s="17"/>
      <c r="K18" s="88">
        <f>2</f>
        <v>2</v>
      </c>
      <c r="L18" s="14"/>
      <c r="M18" s="14"/>
      <c r="N18" s="14"/>
      <c r="O18" s="14"/>
      <c r="P18" s="14"/>
      <c r="Q18" s="14"/>
      <c r="R18" s="14"/>
      <c r="S18" s="14"/>
      <c r="T18" s="3"/>
    </row>
    <row r="19" spans="1:20" ht="12.75">
      <c r="A19" s="8"/>
      <c r="B19" s="17" t="s">
        <v>48</v>
      </c>
      <c r="C19" s="17"/>
      <c r="D19" s="47"/>
      <c r="E19" s="47"/>
      <c r="F19" s="20"/>
      <c r="G19" s="61" t="s">
        <v>35</v>
      </c>
      <c r="H19" s="62" t="s">
        <v>54</v>
      </c>
      <c r="I19" s="62"/>
      <c r="J19" s="62"/>
      <c r="K19" s="89">
        <f>0.305</f>
        <v>0.305</v>
      </c>
      <c r="L19" s="20"/>
      <c r="M19" s="20"/>
      <c r="N19" s="20"/>
      <c r="O19" s="20"/>
      <c r="P19" s="20"/>
      <c r="Q19" s="20"/>
      <c r="R19" s="20"/>
      <c r="S19" s="20"/>
      <c r="T19" s="3"/>
    </row>
    <row r="20" spans="1:20" ht="12.75">
      <c r="A20" s="14"/>
      <c r="B20" s="21"/>
      <c r="C20" s="14"/>
      <c r="D20" s="22"/>
      <c r="E20" s="23"/>
      <c r="F20" s="22"/>
      <c r="G20" s="24" t="s">
        <v>55</v>
      </c>
      <c r="H20" s="14"/>
      <c r="I20" s="25" t="s">
        <v>56</v>
      </c>
      <c r="J20" s="14"/>
      <c r="K20" s="24" t="s">
        <v>57</v>
      </c>
      <c r="L20" s="53"/>
      <c r="M20" s="14"/>
      <c r="N20" s="26" t="s">
        <v>58</v>
      </c>
      <c r="O20" s="26"/>
      <c r="P20" s="6"/>
      <c r="Q20" s="25" t="s">
        <v>59</v>
      </c>
      <c r="R20" s="27"/>
      <c r="S20" s="28" t="s">
        <v>60</v>
      </c>
      <c r="T20" s="14"/>
    </row>
    <row r="21" spans="1:20" ht="12.75">
      <c r="A21" s="3"/>
      <c r="B21" s="21"/>
      <c r="C21" s="3"/>
      <c r="D21" s="22"/>
      <c r="E21" s="2"/>
      <c r="F21" s="22" t="s">
        <v>61</v>
      </c>
      <c r="G21" s="2" t="s">
        <v>60</v>
      </c>
      <c r="H21" s="2" t="s">
        <v>62</v>
      </c>
      <c r="I21" s="21"/>
      <c r="J21" s="23" t="s">
        <v>63</v>
      </c>
      <c r="K21" s="2" t="s">
        <v>64</v>
      </c>
      <c r="L21" s="56" t="s">
        <v>62</v>
      </c>
      <c r="M21" s="23"/>
      <c r="N21" s="2"/>
      <c r="O21" s="2"/>
      <c r="P21" s="29"/>
      <c r="Q21" s="27"/>
      <c r="R21" s="27"/>
      <c r="S21" s="25" t="s">
        <v>65</v>
      </c>
      <c r="T21" s="21"/>
    </row>
    <row r="22" spans="1:20" ht="12.75">
      <c r="A22" s="14"/>
      <c r="B22" s="21"/>
      <c r="C22" s="3"/>
      <c r="D22" s="22" t="s">
        <v>66</v>
      </c>
      <c r="E22" s="2" t="s">
        <v>67</v>
      </c>
      <c r="F22" s="22" t="s">
        <v>68</v>
      </c>
      <c r="G22" s="2" t="s">
        <v>69</v>
      </c>
      <c r="H22" s="2" t="s">
        <v>70</v>
      </c>
      <c r="I22" s="21"/>
      <c r="J22" s="23" t="s">
        <v>68</v>
      </c>
      <c r="K22" s="2" t="s">
        <v>60</v>
      </c>
      <c r="L22" s="56" t="s">
        <v>71</v>
      </c>
      <c r="M22" s="23" t="s">
        <v>60</v>
      </c>
      <c r="N22" s="2" t="s">
        <v>65</v>
      </c>
      <c r="O22" s="2" t="s">
        <v>72</v>
      </c>
      <c r="P22" s="30" t="s">
        <v>73</v>
      </c>
      <c r="Q22" s="23" t="s">
        <v>74</v>
      </c>
      <c r="R22" s="31" t="s">
        <v>75</v>
      </c>
      <c r="S22" s="22"/>
      <c r="T22" s="21"/>
    </row>
    <row r="23" spans="1:20" ht="12.75">
      <c r="A23" s="36" t="s">
        <v>130</v>
      </c>
      <c r="B23" s="32" t="s">
        <v>76</v>
      </c>
      <c r="C23" s="20"/>
      <c r="D23" s="32" t="s">
        <v>77</v>
      </c>
      <c r="E23" s="11" t="s">
        <v>78</v>
      </c>
      <c r="F23" s="32" t="s">
        <v>79</v>
      </c>
      <c r="G23" s="11" t="s">
        <v>79</v>
      </c>
      <c r="H23" s="51" t="s">
        <v>80</v>
      </c>
      <c r="I23" s="60" t="s">
        <v>81</v>
      </c>
      <c r="J23" s="11" t="s">
        <v>82</v>
      </c>
      <c r="K23" s="11" t="s">
        <v>82</v>
      </c>
      <c r="L23" s="80" t="s">
        <v>80</v>
      </c>
      <c r="M23" s="11" t="s">
        <v>83</v>
      </c>
      <c r="N23" s="51" t="s">
        <v>80</v>
      </c>
      <c r="O23" s="51" t="s">
        <v>80</v>
      </c>
      <c r="P23" s="51" t="s">
        <v>207</v>
      </c>
      <c r="Q23" s="51" t="s">
        <v>207</v>
      </c>
      <c r="R23" s="51" t="s">
        <v>207</v>
      </c>
      <c r="S23" s="60" t="s">
        <v>80</v>
      </c>
      <c r="T23" s="21"/>
    </row>
    <row r="24" spans="1:21" ht="12.75">
      <c r="A24" s="3" t="s">
        <v>98</v>
      </c>
      <c r="B24" s="25">
        <v>121</v>
      </c>
      <c r="C24" s="63" t="s">
        <v>84</v>
      </c>
      <c r="D24" s="22"/>
      <c r="E24" s="23"/>
      <c r="F24" s="22"/>
      <c r="G24" s="23"/>
      <c r="H24" s="23"/>
      <c r="I24" s="21"/>
      <c r="J24" s="23"/>
      <c r="K24" s="23"/>
      <c r="M24" s="22"/>
      <c r="N24" s="3"/>
      <c r="O24" s="3"/>
      <c r="P24" s="22">
        <f>500*1</f>
        <v>500</v>
      </c>
      <c r="Q24" s="3"/>
      <c r="R24" s="56">
        <v>100000</v>
      </c>
      <c r="S24" s="39">
        <f>H24+I24+L24+N24+O24+P24+Q24+R24</f>
        <v>100500</v>
      </c>
      <c r="T24" s="21"/>
      <c r="U24" s="52"/>
    </row>
    <row r="25" spans="1:21" ht="12.75">
      <c r="A25" s="38" t="s">
        <v>169</v>
      </c>
      <c r="B25" s="22"/>
      <c r="C25" s="53" t="s">
        <v>176</v>
      </c>
      <c r="E25" s="108"/>
      <c r="F25" s="1">
        <f>160*2.5*1.5*0.305</f>
        <v>183</v>
      </c>
      <c r="G25" s="1">
        <f>F25*6</f>
        <v>1098</v>
      </c>
      <c r="H25" s="124">
        <f>G25*Zi</f>
        <v>8509.5</v>
      </c>
      <c r="J25" s="1">
        <v>100</v>
      </c>
      <c r="K25" s="1">
        <f>J25*6</f>
        <v>600</v>
      </c>
      <c r="L25" s="56">
        <f>K25*La</f>
        <v>36000</v>
      </c>
      <c r="O25" s="69"/>
      <c r="Q25" s="1">
        <f>240*1</f>
        <v>240</v>
      </c>
      <c r="R25" s="69"/>
      <c r="S25" s="39">
        <f>H25+I25+L25+N25+O25+P25+Q25+R25</f>
        <v>44749.5</v>
      </c>
      <c r="T25" s="35"/>
      <c r="U25" s="52"/>
    </row>
    <row r="26" spans="1:21" ht="12.75">
      <c r="A26" s="38" t="s">
        <v>128</v>
      </c>
      <c r="B26" s="22"/>
      <c r="C26" s="14" t="s">
        <v>86</v>
      </c>
      <c r="D26" s="22" t="s">
        <v>85</v>
      </c>
      <c r="E26" s="2" t="s">
        <v>85</v>
      </c>
      <c r="F26" s="22" t="s">
        <v>85</v>
      </c>
      <c r="G26" s="34">
        <f>0.15*G27</f>
        <v>67.5</v>
      </c>
      <c r="H26" s="10">
        <f>G26*Zh</f>
        <v>675</v>
      </c>
      <c r="I26" s="22">
        <v>0</v>
      </c>
      <c r="J26" s="23" t="s">
        <v>85</v>
      </c>
      <c r="K26" s="34" t="s">
        <v>85</v>
      </c>
      <c r="L26" s="10">
        <v>0</v>
      </c>
      <c r="M26" s="22" t="s">
        <v>85</v>
      </c>
      <c r="N26" s="2">
        <v>0</v>
      </c>
      <c r="O26" s="2">
        <v>0</v>
      </c>
      <c r="P26" s="22"/>
      <c r="Q26" s="23">
        <v>0</v>
      </c>
      <c r="R26" s="23"/>
      <c r="S26" s="39">
        <f>H26+I26+L26+N26+O26+P26+Q26+R26</f>
        <v>675</v>
      </c>
      <c r="T26" s="21"/>
      <c r="U26" s="52"/>
    </row>
    <row r="27" spans="1:21" ht="12.75">
      <c r="A27" t="s">
        <v>129</v>
      </c>
      <c r="B27" s="22"/>
      <c r="C27" s="14" t="s">
        <v>164</v>
      </c>
      <c r="D27" s="22" t="s">
        <v>85</v>
      </c>
      <c r="E27" s="2" t="s">
        <v>85</v>
      </c>
      <c r="F27" s="22" t="s">
        <v>85</v>
      </c>
      <c r="G27" s="2">
        <v>450</v>
      </c>
      <c r="H27" s="10">
        <f>G27*Zi</f>
        <v>3487.5</v>
      </c>
      <c r="I27" s="22">
        <v>0</v>
      </c>
      <c r="J27" s="23" t="s">
        <v>85</v>
      </c>
      <c r="K27" s="23">
        <f>1.38*G27</f>
        <v>621</v>
      </c>
      <c r="L27" s="2">
        <f>K27*La</f>
        <v>37260</v>
      </c>
      <c r="M27" s="22" t="s">
        <v>85</v>
      </c>
      <c r="N27" s="2">
        <v>0</v>
      </c>
      <c r="O27" s="2">
        <v>0</v>
      </c>
      <c r="P27" s="22"/>
      <c r="Q27" s="23">
        <f>500*1</f>
        <v>500</v>
      </c>
      <c r="R27" s="56"/>
      <c r="S27" s="39">
        <f>H27+I27+L27+N27+O27+P27+Q27+R27</f>
        <v>41247.5</v>
      </c>
      <c r="T27" s="21"/>
      <c r="U27" s="52"/>
    </row>
    <row r="28" spans="1:21" ht="12.75">
      <c r="A28" s="3" t="s">
        <v>170</v>
      </c>
      <c r="B28" s="22"/>
      <c r="C28" s="14" t="s">
        <v>87</v>
      </c>
      <c r="D28" s="33">
        <f>89000</f>
        <v>89000</v>
      </c>
      <c r="E28" s="10">
        <f>D28*1</f>
        <v>89000</v>
      </c>
      <c r="F28" s="22" t="s">
        <v>85</v>
      </c>
      <c r="G28" s="10">
        <f>D28/144*1</f>
        <v>618.0555555555555</v>
      </c>
      <c r="H28" s="10">
        <f>D28/144*20</f>
        <v>12361.111111111111</v>
      </c>
      <c r="I28" s="22">
        <v>0</v>
      </c>
      <c r="J28" s="23" t="s">
        <v>85</v>
      </c>
      <c r="K28" s="23">
        <v>900</v>
      </c>
      <c r="L28" s="2">
        <f>K28*Wi</f>
        <v>90000</v>
      </c>
      <c r="M28" s="22">
        <v>0</v>
      </c>
      <c r="N28" s="2">
        <v>0</v>
      </c>
      <c r="O28" s="2">
        <v>0</v>
      </c>
      <c r="P28" s="22"/>
      <c r="Q28" s="34">
        <f>1000*ni/N*0.5*1</f>
        <v>666.6666666666666</v>
      </c>
      <c r="R28" s="23"/>
      <c r="S28" s="39">
        <f>H28+I28+L28+N28+O28+P28+Q28+R28</f>
        <v>103027.77777777778</v>
      </c>
      <c r="T28" s="35"/>
      <c r="U28" s="52"/>
    </row>
    <row r="29" spans="2:21" ht="12.75">
      <c r="B29" s="22"/>
      <c r="C29" s="14" t="s">
        <v>177</v>
      </c>
      <c r="D29" s="33"/>
      <c r="E29" s="10"/>
      <c r="F29" s="22"/>
      <c r="G29" s="2"/>
      <c r="H29" s="10"/>
      <c r="I29" s="22"/>
      <c r="J29" s="23"/>
      <c r="K29" s="23"/>
      <c r="L29" s="2"/>
      <c r="M29" s="22"/>
      <c r="N29" s="2"/>
      <c r="O29" s="2"/>
      <c r="P29" s="22"/>
      <c r="Q29" s="23"/>
      <c r="R29" s="23"/>
      <c r="S29" s="39"/>
      <c r="T29" s="35"/>
      <c r="U29" s="52"/>
    </row>
    <row r="30" spans="2:21" ht="12.75">
      <c r="B30" s="22"/>
      <c r="C30" s="93" t="s">
        <v>139</v>
      </c>
      <c r="D30" s="2" t="s">
        <v>85</v>
      </c>
      <c r="E30" s="56" t="s">
        <v>85</v>
      </c>
      <c r="F30" s="2" t="s">
        <v>85</v>
      </c>
      <c r="G30" s="2" t="s">
        <v>85</v>
      </c>
      <c r="H30" s="56">
        <v>0</v>
      </c>
      <c r="I30" s="2">
        <v>2400</v>
      </c>
      <c r="J30" s="2">
        <f>1000</f>
        <v>1000</v>
      </c>
      <c r="K30" s="2">
        <f>J30*4</f>
        <v>4000</v>
      </c>
      <c r="L30" s="2">
        <f>K30*La</f>
        <v>240000</v>
      </c>
      <c r="M30" s="22">
        <v>0</v>
      </c>
      <c r="N30" s="2">
        <v>0</v>
      </c>
      <c r="O30" s="2">
        <f>100*Wi*k</f>
        <v>10000</v>
      </c>
      <c r="P30" s="22"/>
      <c r="Q30" s="23">
        <f>920*1</f>
        <v>920</v>
      </c>
      <c r="R30" s="23"/>
      <c r="S30" s="39">
        <f>H30+I30+L30+N30+O30+P30+Q30+R30</f>
        <v>253320</v>
      </c>
      <c r="T30" s="35"/>
      <c r="U30" s="54"/>
    </row>
    <row r="31" spans="2:21" ht="12.75">
      <c r="B31" s="22"/>
      <c r="C31" s="19" t="s">
        <v>88</v>
      </c>
      <c r="D31" s="33">
        <f>S/(24)</f>
        <v>2625</v>
      </c>
      <c r="E31" s="10">
        <f>D31*t</f>
        <v>984.375</v>
      </c>
      <c r="F31" s="33">
        <f>E31*p</f>
        <v>300.234375</v>
      </c>
      <c r="G31" s="34">
        <f>F31*24</f>
        <v>7205.625</v>
      </c>
      <c r="H31" s="10">
        <f>G31*Zi</f>
        <v>55843.59375</v>
      </c>
      <c r="I31" s="22">
        <v>0</v>
      </c>
      <c r="J31" s="34">
        <v>440</v>
      </c>
      <c r="K31" s="10">
        <f>J31*24</f>
        <v>10560</v>
      </c>
      <c r="L31" s="10">
        <f>K31*La</f>
        <v>633600</v>
      </c>
      <c r="M31" s="22">
        <v>0</v>
      </c>
      <c r="N31" s="2">
        <v>0</v>
      </c>
      <c r="O31" s="2">
        <v>0</v>
      </c>
      <c r="P31" s="22"/>
      <c r="Q31" s="23"/>
      <c r="R31" s="23"/>
      <c r="S31" s="39">
        <f>H31+I31+L31+N31+O31+P31+Q31+R31</f>
        <v>689443.59375</v>
      </c>
      <c r="T31" s="35"/>
      <c r="U31" s="54"/>
    </row>
    <row r="32" spans="2:21" ht="12.75">
      <c r="B32" s="22"/>
      <c r="C32" s="19" t="s">
        <v>89</v>
      </c>
      <c r="D32" s="33" t="s">
        <v>85</v>
      </c>
      <c r="E32" s="10" t="s">
        <v>85</v>
      </c>
      <c r="F32" s="33" t="s">
        <v>85</v>
      </c>
      <c r="G32" s="34" t="s">
        <v>85</v>
      </c>
      <c r="H32" s="10">
        <v>0</v>
      </c>
      <c r="I32" s="22">
        <v>0</v>
      </c>
      <c r="J32" s="34">
        <v>80</v>
      </c>
      <c r="K32" s="10">
        <f>J32*24</f>
        <v>1920</v>
      </c>
      <c r="L32" s="10">
        <f>K32*La</f>
        <v>115200</v>
      </c>
      <c r="M32" s="22">
        <v>0</v>
      </c>
      <c r="N32" s="2">
        <v>0</v>
      </c>
      <c r="O32" s="2">
        <v>0</v>
      </c>
      <c r="P32" s="22"/>
      <c r="Q32" s="23"/>
      <c r="R32" s="23"/>
      <c r="S32" s="39">
        <f>H32+I32+L32+N32+O32+P32+Q32+R32</f>
        <v>115200</v>
      </c>
      <c r="T32" s="35"/>
      <c r="U32" s="54"/>
    </row>
    <row r="33" spans="2:21" ht="12.75">
      <c r="B33" s="22"/>
      <c r="C33" s="19" t="s">
        <v>90</v>
      </c>
      <c r="D33" s="33" t="s">
        <v>85</v>
      </c>
      <c r="E33" s="10" t="s">
        <v>85</v>
      </c>
      <c r="F33" s="33" t="s">
        <v>85</v>
      </c>
      <c r="G33" s="34" t="s">
        <v>91</v>
      </c>
      <c r="H33" s="10">
        <v>0</v>
      </c>
      <c r="I33" s="22">
        <v>0</v>
      </c>
      <c r="J33" s="34">
        <v>0</v>
      </c>
      <c r="K33" s="10">
        <v>0</v>
      </c>
      <c r="L33" s="101">
        <v>60000</v>
      </c>
      <c r="M33" s="22">
        <v>0</v>
      </c>
      <c r="N33" s="2">
        <v>0</v>
      </c>
      <c r="O33" s="2">
        <v>0</v>
      </c>
      <c r="P33" s="22"/>
      <c r="Q33" s="23"/>
      <c r="R33" s="23"/>
      <c r="S33" s="39">
        <f>H33+I33+L33+N33+O33+P33+Q33+R33</f>
        <v>60000</v>
      </c>
      <c r="T33" s="84"/>
      <c r="U33" s="54"/>
    </row>
    <row r="34" spans="2:21" ht="12.75">
      <c r="B34" s="22"/>
      <c r="C34" s="19"/>
      <c r="D34" s="33"/>
      <c r="E34" s="10"/>
      <c r="F34" s="33"/>
      <c r="G34" s="34"/>
      <c r="H34" s="10"/>
      <c r="I34" s="22"/>
      <c r="J34" s="34"/>
      <c r="K34" s="10"/>
      <c r="L34" s="43">
        <f>SUM(L25:L33)</f>
        <v>1212060</v>
      </c>
      <c r="M34" s="22"/>
      <c r="N34" s="2"/>
      <c r="O34" s="2"/>
      <c r="P34" s="22"/>
      <c r="Q34" s="23"/>
      <c r="R34" s="23"/>
      <c r="S34" s="39"/>
      <c r="T34" s="84"/>
      <c r="U34" s="54"/>
    </row>
    <row r="35" spans="1:21" ht="12.75">
      <c r="A35" s="71" t="s">
        <v>134</v>
      </c>
      <c r="B35" s="25">
        <v>122</v>
      </c>
      <c r="C35" s="63" t="s">
        <v>92</v>
      </c>
      <c r="D35" s="22" t="s">
        <v>85</v>
      </c>
      <c r="E35" s="2" t="s">
        <v>85</v>
      </c>
      <c r="F35" s="22">
        <v>0</v>
      </c>
      <c r="G35" s="2" t="s">
        <v>85</v>
      </c>
      <c r="H35" s="10">
        <f>500*np</f>
        <v>0</v>
      </c>
      <c r="I35" s="22">
        <v>0</v>
      </c>
      <c r="J35" s="23">
        <f>1.38*F35</f>
        <v>0</v>
      </c>
      <c r="K35" s="2">
        <f>J35*np</f>
        <v>0</v>
      </c>
      <c r="L35" s="10">
        <f>K35*La</f>
        <v>0</v>
      </c>
      <c r="M35" s="22">
        <v>0</v>
      </c>
      <c r="N35" s="10">
        <f>M35*2*We*(1+Kn)*La</f>
        <v>0</v>
      </c>
      <c r="O35" s="2">
        <v>0</v>
      </c>
      <c r="P35" s="21"/>
      <c r="Q35" s="34">
        <f>4*200*1</f>
        <v>800</v>
      </c>
      <c r="R35" s="53"/>
      <c r="S35" s="39">
        <f>H35+I35+L35+N35+O35+P35+Q35+R35</f>
        <v>800</v>
      </c>
      <c r="T35" s="35"/>
      <c r="U35" s="52"/>
    </row>
    <row r="36" spans="1:19" ht="13.5" customHeight="1">
      <c r="A36" s="123" t="s">
        <v>160</v>
      </c>
      <c r="B36" s="22"/>
      <c r="C36" s="154" t="s">
        <v>162</v>
      </c>
      <c r="D36" s="22" t="s">
        <v>85</v>
      </c>
      <c r="E36" s="2" t="s">
        <v>85</v>
      </c>
      <c r="F36" s="22" t="s">
        <v>91</v>
      </c>
      <c r="G36" s="10">
        <f>1971*6-G31</f>
        <v>4620.375</v>
      </c>
      <c r="H36" s="99">
        <f>Zi*G36</f>
        <v>35807.90625</v>
      </c>
      <c r="I36" s="23">
        <v>0</v>
      </c>
      <c r="J36" s="23">
        <v>10</v>
      </c>
      <c r="K36" s="2">
        <f>J36*np</f>
        <v>0</v>
      </c>
      <c r="L36" s="10">
        <f>K36*La</f>
        <v>0</v>
      </c>
      <c r="M36" s="22">
        <v>0</v>
      </c>
      <c r="N36" s="10">
        <v>0</v>
      </c>
      <c r="O36" s="2">
        <v>0</v>
      </c>
      <c r="P36" s="21"/>
      <c r="Q36" s="34">
        <f>800*1</f>
        <v>800</v>
      </c>
      <c r="R36" s="14"/>
      <c r="S36" s="39">
        <f>H36+I36+L36+N36+O36+P36+Q36+R36</f>
        <v>36607.90625</v>
      </c>
    </row>
    <row r="37" spans="1:19" ht="12.75">
      <c r="A37" t="s">
        <v>171</v>
      </c>
      <c r="B37" s="22"/>
      <c r="C37" s="155"/>
      <c r="D37" s="22"/>
      <c r="E37" s="2"/>
      <c r="F37" s="22"/>
      <c r="G37" s="2"/>
      <c r="H37" s="56"/>
      <c r="I37" s="23"/>
      <c r="J37" s="23"/>
      <c r="K37" s="2"/>
      <c r="L37" s="10"/>
      <c r="M37" s="22"/>
      <c r="N37" s="10"/>
      <c r="O37" s="2"/>
      <c r="P37" s="21"/>
      <c r="Q37" s="34"/>
      <c r="R37" s="14"/>
      <c r="S37" s="39"/>
    </row>
    <row r="38" spans="1:19" ht="12.75">
      <c r="A38" s="3" t="s">
        <v>159</v>
      </c>
      <c r="B38" s="22"/>
      <c r="C38" s="72" t="s">
        <v>93</v>
      </c>
      <c r="D38" s="90">
        <f>90-D39-D40</f>
        <v>60</v>
      </c>
      <c r="E38" s="2" t="s">
        <v>94</v>
      </c>
      <c r="F38" s="22" t="s">
        <v>85</v>
      </c>
      <c r="G38" s="2" t="s">
        <v>85</v>
      </c>
      <c r="H38" s="56">
        <v>0</v>
      </c>
      <c r="I38" s="23">
        <v>0</v>
      </c>
      <c r="J38" s="23">
        <v>24</v>
      </c>
      <c r="K38" s="2">
        <f>J38*D38</f>
        <v>1440</v>
      </c>
      <c r="L38" s="10">
        <f>K38*La</f>
        <v>86400</v>
      </c>
      <c r="M38" s="22">
        <v>0</v>
      </c>
      <c r="N38" s="10">
        <v>0</v>
      </c>
      <c r="O38" s="2">
        <v>0</v>
      </c>
      <c r="P38" s="21"/>
      <c r="Q38" s="34">
        <f>2000*1</f>
        <v>2000</v>
      </c>
      <c r="R38" s="14"/>
      <c r="S38" s="39">
        <f>H38+I38+L38+N38+O38+P38+Q38+R38</f>
        <v>88400</v>
      </c>
    </row>
    <row r="39" spans="1:19" ht="12.75">
      <c r="A39" s="53" t="s">
        <v>158</v>
      </c>
      <c r="B39" s="22"/>
      <c r="C39" s="72"/>
      <c r="D39" s="90">
        <v>24</v>
      </c>
      <c r="E39" s="2" t="s">
        <v>94</v>
      </c>
      <c r="F39" s="22"/>
      <c r="G39" s="2"/>
      <c r="H39" s="56">
        <v>0</v>
      </c>
      <c r="I39" s="23"/>
      <c r="J39" s="23">
        <v>32</v>
      </c>
      <c r="K39" s="2">
        <f>J39*D39</f>
        <v>768</v>
      </c>
      <c r="L39" s="10">
        <f>K39*La</f>
        <v>46080</v>
      </c>
      <c r="M39" s="22"/>
      <c r="N39" s="10"/>
      <c r="O39" s="2"/>
      <c r="P39" s="21"/>
      <c r="Q39" s="34"/>
      <c r="R39" s="14"/>
      <c r="S39" s="39">
        <f>H39+I39+L39+N39+O39+P39+Q39+R39</f>
        <v>46080</v>
      </c>
    </row>
    <row r="40" spans="1:19" ht="12.75">
      <c r="A40" s="3" t="s">
        <v>172</v>
      </c>
      <c r="B40" s="22"/>
      <c r="C40" s="72"/>
      <c r="D40" s="90">
        <v>6</v>
      </c>
      <c r="E40" s="2" t="s">
        <v>94</v>
      </c>
      <c r="F40" s="22"/>
      <c r="G40" s="2"/>
      <c r="H40" s="56">
        <v>0</v>
      </c>
      <c r="I40" s="23"/>
      <c r="J40" s="23">
        <v>40</v>
      </c>
      <c r="K40" s="2">
        <f>J40*D40</f>
        <v>240</v>
      </c>
      <c r="L40" s="99">
        <f>K40*La</f>
        <v>14400</v>
      </c>
      <c r="M40" s="23"/>
      <c r="N40" s="10"/>
      <c r="O40" s="2"/>
      <c r="P40" s="21"/>
      <c r="Q40" s="34"/>
      <c r="R40" s="14"/>
      <c r="S40" s="39">
        <f>H40+I40+L40+N40+O40+P40+Q40+R40</f>
        <v>14400</v>
      </c>
    </row>
    <row r="41" spans="1:19" ht="12.75">
      <c r="A41" t="s">
        <v>173</v>
      </c>
      <c r="B41" s="22"/>
      <c r="C41" s="72"/>
      <c r="D41" s="90"/>
      <c r="E41" s="2"/>
      <c r="F41" s="22"/>
      <c r="G41" s="2"/>
      <c r="H41" s="56"/>
      <c r="I41" s="23"/>
      <c r="J41" s="23"/>
      <c r="K41" s="2"/>
      <c r="L41" s="43"/>
      <c r="M41" s="22"/>
      <c r="N41" s="10"/>
      <c r="O41" s="2"/>
      <c r="P41" s="21"/>
      <c r="Q41" s="34"/>
      <c r="R41" s="14"/>
      <c r="S41" s="39"/>
    </row>
    <row r="42" spans="1:19" ht="12.75">
      <c r="A42" s="3" t="s">
        <v>174</v>
      </c>
      <c r="B42" s="22"/>
      <c r="C42" s="72"/>
      <c r="D42" s="90"/>
      <c r="E42" s="2"/>
      <c r="F42" s="22"/>
      <c r="G42" s="2"/>
      <c r="H42" s="56"/>
      <c r="I42" s="23"/>
      <c r="J42" s="23"/>
      <c r="K42" s="2"/>
      <c r="L42" s="10"/>
      <c r="M42" s="22"/>
      <c r="N42" s="10"/>
      <c r="O42" s="2"/>
      <c r="P42" s="21"/>
      <c r="Q42" s="34"/>
      <c r="R42" s="14"/>
      <c r="S42" s="39"/>
    </row>
    <row r="43" spans="1:21" ht="12.75">
      <c r="A43" s="3" t="s">
        <v>131</v>
      </c>
      <c r="B43" s="25">
        <v>171</v>
      </c>
      <c r="C43" s="26" t="s">
        <v>165</v>
      </c>
      <c r="D43" s="90">
        <v>250</v>
      </c>
      <c r="E43" s="2" t="s">
        <v>96</v>
      </c>
      <c r="F43" s="107">
        <f>160/12*0.5</f>
        <v>6.666666666666667</v>
      </c>
      <c r="G43" s="2">
        <f>15*3*F43</f>
        <v>300</v>
      </c>
      <c r="H43" s="101">
        <f>G43*Zi</f>
        <v>2325</v>
      </c>
      <c r="I43" s="11">
        <v>0</v>
      </c>
      <c r="J43" s="23">
        <f>16</f>
        <v>16</v>
      </c>
      <c r="K43" s="2">
        <f>J43*45</f>
        <v>720</v>
      </c>
      <c r="L43" s="42">
        <f>K43*Wi</f>
        <v>72000</v>
      </c>
      <c r="M43" s="22">
        <v>0</v>
      </c>
      <c r="N43" s="11">
        <v>0</v>
      </c>
      <c r="O43" s="11">
        <v>0</v>
      </c>
      <c r="P43" s="55"/>
      <c r="Q43" s="11">
        <f>200*1</f>
        <v>200</v>
      </c>
      <c r="R43" s="20"/>
      <c r="S43" s="39">
        <f>H43+I43+L43+N43+O43+P43+Q43+R43</f>
        <v>74525</v>
      </c>
      <c r="T43" s="21"/>
      <c r="U43" s="52"/>
    </row>
    <row r="44" spans="1:20" ht="12.75">
      <c r="A44" s="3" t="s">
        <v>175</v>
      </c>
      <c r="B44" s="22"/>
      <c r="C44" s="14"/>
      <c r="D44" s="22"/>
      <c r="E44" s="2"/>
      <c r="F44" s="22"/>
      <c r="G44" s="2"/>
      <c r="H44" s="57">
        <f>SUM(H24:H43)</f>
        <v>119009.61111111111</v>
      </c>
      <c r="I44" s="43">
        <f>SUM(I24:I43)</f>
        <v>2400</v>
      </c>
      <c r="J44" s="23"/>
      <c r="K44" s="24"/>
      <c r="L44" s="58">
        <f>SUM(L35:L43)</f>
        <v>218880</v>
      </c>
      <c r="M44" s="79"/>
      <c r="N44" s="43">
        <f>SUM(N25:N43)</f>
        <v>0</v>
      </c>
      <c r="O44" s="57">
        <f>SUM(O25:O43)</f>
        <v>10000</v>
      </c>
      <c r="P44" s="64">
        <f>SUM(P24:P43)</f>
        <v>500</v>
      </c>
      <c r="Q44" s="64">
        <f>SUM(Q24:Q43)</f>
        <v>6126.666666666666</v>
      </c>
      <c r="R44" s="64">
        <f>SUM(R24:R43)</f>
        <v>100000</v>
      </c>
      <c r="S44" s="39"/>
      <c r="T44" s="58"/>
    </row>
    <row r="45" spans="1:21" ht="12.75">
      <c r="A45" t="s">
        <v>140</v>
      </c>
      <c r="B45" s="22"/>
      <c r="C45" s="14"/>
      <c r="D45" s="22"/>
      <c r="E45" s="2"/>
      <c r="F45" s="22"/>
      <c r="G45" s="2"/>
      <c r="H45" s="57"/>
      <c r="I45" s="43"/>
      <c r="J45" s="26"/>
      <c r="K45" s="44"/>
      <c r="L45" s="10"/>
      <c r="M45" s="22"/>
      <c r="N45" s="2"/>
      <c r="O45" s="56"/>
      <c r="P45" s="43"/>
      <c r="Q45" s="77" t="s">
        <v>97</v>
      </c>
      <c r="R45" s="10">
        <f>R44+Q44+P44</f>
        <v>106626.66666666667</v>
      </c>
      <c r="S45" s="39"/>
      <c r="T45" s="84">
        <f>R45+L45</f>
        <v>106626.66666666667</v>
      </c>
      <c r="U45" s="58"/>
    </row>
    <row r="46" spans="1:21" ht="12.75">
      <c r="A46" t="s">
        <v>178</v>
      </c>
      <c r="B46" s="22"/>
      <c r="C46" s="14"/>
      <c r="D46" s="22"/>
      <c r="E46" s="2"/>
      <c r="F46" s="22"/>
      <c r="G46" s="2"/>
      <c r="H46" s="57"/>
      <c r="I46" s="43"/>
      <c r="J46" s="23"/>
      <c r="K46" s="44"/>
      <c r="L46" s="43"/>
      <c r="M46" s="22"/>
      <c r="N46" s="2"/>
      <c r="O46" s="56"/>
      <c r="P46" s="43"/>
      <c r="Q46" s="43"/>
      <c r="R46" s="43"/>
      <c r="S46" s="39"/>
      <c r="T46" s="21"/>
      <c r="U46" s="58"/>
    </row>
    <row r="47" spans="1:20" ht="12.75">
      <c r="A47" t="s">
        <v>135</v>
      </c>
      <c r="B47" s="25">
        <v>151</v>
      </c>
      <c r="C47" s="63" t="s">
        <v>137</v>
      </c>
      <c r="D47" s="33">
        <f>39*4*2*Ki</f>
        <v>0</v>
      </c>
      <c r="E47" s="10">
        <f>D47*1</f>
        <v>0</v>
      </c>
      <c r="F47" s="37">
        <f>E47*0.065</f>
        <v>0</v>
      </c>
      <c r="G47" s="10">
        <f>F47*3</f>
        <v>0</v>
      </c>
      <c r="H47" s="10">
        <f>G47*CCi</f>
        <v>0</v>
      </c>
      <c r="I47" s="25">
        <v>0</v>
      </c>
      <c r="J47" s="97">
        <f>3*D47/At</f>
        <v>0</v>
      </c>
      <c r="K47" s="10">
        <f>J47*3</f>
        <v>0</v>
      </c>
      <c r="L47" s="10">
        <f>K47*La</f>
        <v>0</v>
      </c>
      <c r="M47" s="22" t="s">
        <v>85</v>
      </c>
      <c r="N47" s="23">
        <v>0</v>
      </c>
      <c r="O47" s="56">
        <v>0</v>
      </c>
      <c r="P47" s="24">
        <f>50*1*Ki</f>
        <v>0</v>
      </c>
      <c r="Q47" s="24">
        <f>1*800*Ki</f>
        <v>0</v>
      </c>
      <c r="R47" s="24">
        <v>0</v>
      </c>
      <c r="S47" s="39">
        <f>H47+I47+L47+N47+O47+P47+Q47+R47</f>
        <v>0</v>
      </c>
      <c r="T47" s="21"/>
    </row>
    <row r="48" spans="2:20" ht="12.75">
      <c r="B48" s="22"/>
      <c r="C48" s="14" t="s">
        <v>99</v>
      </c>
      <c r="D48" s="33">
        <f>D47</f>
        <v>0</v>
      </c>
      <c r="E48" s="98">
        <f>D48*0.25</f>
        <v>0</v>
      </c>
      <c r="F48" s="22" t="s">
        <v>85</v>
      </c>
      <c r="G48" s="2">
        <f>E48*0.28</f>
        <v>0</v>
      </c>
      <c r="H48" s="99">
        <f>G48*Zi</f>
        <v>0</v>
      </c>
      <c r="I48" s="23">
        <v>0</v>
      </c>
      <c r="J48" s="34">
        <f>0.178*E48</f>
        <v>0</v>
      </c>
      <c r="K48" s="10">
        <f>J48*3</f>
        <v>0</v>
      </c>
      <c r="L48" s="99">
        <f>K48*La</f>
        <v>0</v>
      </c>
      <c r="M48" s="23" t="s">
        <v>85</v>
      </c>
      <c r="N48" s="23">
        <v>0</v>
      </c>
      <c r="O48" s="56">
        <v>0</v>
      </c>
      <c r="P48" s="23">
        <v>0</v>
      </c>
      <c r="Q48" s="100">
        <v>0</v>
      </c>
      <c r="R48" s="69"/>
      <c r="S48" s="99">
        <f>H48+I48+L48+N48+O48+P48+Q48+R48</f>
        <v>0</v>
      </c>
      <c r="T48" s="21"/>
    </row>
    <row r="49" spans="2:20" ht="12.75">
      <c r="B49" s="22"/>
      <c r="C49" s="14" t="s">
        <v>138</v>
      </c>
      <c r="D49" s="22">
        <f>39*3*Ki</f>
        <v>0</v>
      </c>
      <c r="E49" s="2">
        <f>D49*1</f>
        <v>0</v>
      </c>
      <c r="F49" s="22">
        <f>E49*0.065</f>
        <v>0</v>
      </c>
      <c r="G49" s="2">
        <f>F49*3</f>
        <v>0</v>
      </c>
      <c r="H49" s="10">
        <f>G49*CCi</f>
        <v>0</v>
      </c>
      <c r="I49" s="22">
        <v>0</v>
      </c>
      <c r="J49" s="97">
        <f>3*D49/At</f>
        <v>0</v>
      </c>
      <c r="K49" s="2">
        <f>J49*3</f>
        <v>0</v>
      </c>
      <c r="L49" s="10">
        <f>K49*La</f>
        <v>0</v>
      </c>
      <c r="M49" s="21" t="s">
        <v>85</v>
      </c>
      <c r="N49" s="2">
        <f>N48+N47</f>
        <v>0</v>
      </c>
      <c r="O49" s="53"/>
      <c r="P49" s="14"/>
      <c r="Q49" s="23">
        <v>0</v>
      </c>
      <c r="R49" s="56">
        <v>0</v>
      </c>
      <c r="S49" s="99">
        <f>H49+I49+L49+N49+O49+P49+Q49+R49</f>
        <v>0</v>
      </c>
      <c r="T49" s="21"/>
    </row>
    <row r="50" spans="2:20" ht="12.75">
      <c r="B50" s="22"/>
      <c r="C50" s="14" t="s">
        <v>99</v>
      </c>
      <c r="D50" s="22" t="s">
        <v>85</v>
      </c>
      <c r="E50" s="2"/>
      <c r="F50" s="22"/>
      <c r="G50" s="2"/>
      <c r="H50" s="101">
        <f>500*Ki</f>
        <v>0</v>
      </c>
      <c r="I50" s="22">
        <v>0</v>
      </c>
      <c r="J50" s="23">
        <f>100*Ki</f>
        <v>0</v>
      </c>
      <c r="K50" s="2">
        <f>J50*3</f>
        <v>0</v>
      </c>
      <c r="L50" s="101">
        <f>K50*La</f>
        <v>0</v>
      </c>
      <c r="M50" s="21"/>
      <c r="N50" s="44"/>
      <c r="O50" s="53"/>
      <c r="P50" s="14"/>
      <c r="Q50" s="23">
        <v>0</v>
      </c>
      <c r="R50" s="56">
        <f>R48+Q48+P48</f>
        <v>0</v>
      </c>
      <c r="S50" s="99">
        <f>H50+I50+L50+N50+O50+P50+Q50+R50</f>
        <v>0</v>
      </c>
      <c r="T50" s="21"/>
    </row>
    <row r="51" spans="2:20" ht="12.75">
      <c r="B51" s="22"/>
      <c r="C51" s="14"/>
      <c r="D51" s="22"/>
      <c r="E51" s="2"/>
      <c r="F51" s="22"/>
      <c r="G51" s="2"/>
      <c r="H51" s="43">
        <f>H50+H49+H48+H47</f>
        <v>0</v>
      </c>
      <c r="I51" s="21"/>
      <c r="J51" s="14"/>
      <c r="K51" s="3"/>
      <c r="L51" s="43">
        <f>L50+L49+L48+L47</f>
        <v>0</v>
      </c>
      <c r="M51" s="21"/>
      <c r="N51" s="44"/>
      <c r="O51" s="3"/>
      <c r="P51" s="102"/>
      <c r="Q51" s="24"/>
      <c r="R51" s="14"/>
      <c r="S51" s="39"/>
      <c r="T51" s="21"/>
    </row>
    <row r="52" spans="2:20" ht="12.75">
      <c r="B52" s="22"/>
      <c r="C52" s="14"/>
      <c r="D52" s="22"/>
      <c r="E52" s="2"/>
      <c r="F52" s="22"/>
      <c r="G52" s="2"/>
      <c r="H52" s="43"/>
      <c r="I52" s="21"/>
      <c r="J52" s="14"/>
      <c r="K52" s="3"/>
      <c r="L52" s="43"/>
      <c r="M52" s="21"/>
      <c r="N52" s="44"/>
      <c r="O52" s="3"/>
      <c r="P52" s="21"/>
      <c r="Q52" s="19"/>
      <c r="R52" s="14"/>
      <c r="S52" s="39"/>
      <c r="T52" s="21"/>
    </row>
    <row r="53" spans="2:20" ht="12.75">
      <c r="B53" s="25">
        <v>131</v>
      </c>
      <c r="C53" s="63" t="s">
        <v>100</v>
      </c>
      <c r="D53" s="22">
        <f>900*Ki</f>
        <v>0</v>
      </c>
      <c r="E53" s="2">
        <f>D53*1</f>
        <v>0</v>
      </c>
      <c r="F53" s="33">
        <f>0.065*E53</f>
        <v>0</v>
      </c>
      <c r="G53" s="2">
        <f>F53*4</f>
        <v>0</v>
      </c>
      <c r="H53" s="10">
        <f>G53*CCi</f>
        <v>0</v>
      </c>
      <c r="I53" s="22">
        <v>0</v>
      </c>
      <c r="J53" s="34">
        <f>0.178*E53</f>
        <v>0</v>
      </c>
      <c r="K53" s="10">
        <f>J53*4</f>
        <v>0</v>
      </c>
      <c r="L53" s="10">
        <f>K53*La</f>
        <v>0</v>
      </c>
      <c r="M53" s="22" t="s">
        <v>85</v>
      </c>
      <c r="N53" s="2">
        <v>0</v>
      </c>
      <c r="O53" s="2">
        <v>0</v>
      </c>
      <c r="P53" s="22">
        <f>50*1*Ki</f>
        <v>0</v>
      </c>
      <c r="Q53" s="23">
        <f>400*1*Ki</f>
        <v>0</v>
      </c>
      <c r="R53" s="23">
        <v>0</v>
      </c>
      <c r="S53" s="39">
        <f>H53+I53+L53+N53+O53+P53+Q53+R53</f>
        <v>0</v>
      </c>
      <c r="T53" s="21"/>
    </row>
    <row r="54" spans="2:20" ht="12.75">
      <c r="B54" s="22"/>
      <c r="C54" s="14" t="s">
        <v>101</v>
      </c>
      <c r="D54" s="22">
        <f>D53</f>
        <v>0</v>
      </c>
      <c r="E54" s="10">
        <f>D54*0.25</f>
        <v>0</v>
      </c>
      <c r="F54" s="33">
        <f>E54*pc</f>
        <v>0</v>
      </c>
      <c r="G54" s="10">
        <f>F54*2</f>
        <v>0</v>
      </c>
      <c r="H54" s="42">
        <f>G54*Zc</f>
        <v>0</v>
      </c>
      <c r="I54" s="32">
        <v>0</v>
      </c>
      <c r="J54" s="34">
        <f>0.178*E54</f>
        <v>0</v>
      </c>
      <c r="K54" s="10">
        <f>J54*2</f>
        <v>0</v>
      </c>
      <c r="L54" s="42">
        <f>K54*La</f>
        <v>0</v>
      </c>
      <c r="M54" s="22" t="s">
        <v>85</v>
      </c>
      <c r="N54" s="11">
        <v>0</v>
      </c>
      <c r="O54" s="2">
        <v>0</v>
      </c>
      <c r="P54" s="32">
        <v>0</v>
      </c>
      <c r="Q54" s="11">
        <f>200*1*Ki</f>
        <v>0</v>
      </c>
      <c r="R54" s="11"/>
      <c r="S54" s="39">
        <f>H54+I54+L54+N54+O54+P54+Q54+R54</f>
        <v>0</v>
      </c>
      <c r="T54" s="35"/>
    </row>
    <row r="55" spans="2:20" ht="12.75">
      <c r="B55" s="22"/>
      <c r="C55" s="14"/>
      <c r="D55" s="22"/>
      <c r="E55" s="2"/>
      <c r="F55" s="22"/>
      <c r="G55" s="2"/>
      <c r="H55" s="43">
        <f>H54+H53</f>
        <v>0</v>
      </c>
      <c r="I55" s="25">
        <f>I54+I53</f>
        <v>0</v>
      </c>
      <c r="J55" s="23"/>
      <c r="K55" s="2"/>
      <c r="L55" s="43">
        <f>L54+L53</f>
        <v>0</v>
      </c>
      <c r="M55" s="22"/>
      <c r="N55" s="44">
        <f>N54+N53</f>
        <v>0</v>
      </c>
      <c r="O55" s="56"/>
      <c r="P55" s="51">
        <f>P54+P53</f>
        <v>0</v>
      </c>
      <c r="Q55" s="51">
        <f>Q54+Q53</f>
        <v>0</v>
      </c>
      <c r="R55" s="51">
        <f>R54+R53</f>
        <v>0</v>
      </c>
      <c r="S55" s="39"/>
      <c r="T55" s="21"/>
    </row>
    <row r="56" spans="2:20" ht="12.75">
      <c r="B56" s="25">
        <v>111</v>
      </c>
      <c r="C56" s="63" t="s">
        <v>141</v>
      </c>
      <c r="D56" s="22"/>
      <c r="E56" s="2"/>
      <c r="F56" s="22"/>
      <c r="G56" s="2"/>
      <c r="H56" s="43"/>
      <c r="I56" s="22"/>
      <c r="J56" s="23"/>
      <c r="K56" s="2"/>
      <c r="L56" s="43"/>
      <c r="M56" s="22"/>
      <c r="N56" s="2"/>
      <c r="O56" s="56"/>
      <c r="P56" s="24"/>
      <c r="Q56" s="24"/>
      <c r="R56" s="24"/>
      <c r="S56" s="39"/>
      <c r="T56" s="21"/>
    </row>
    <row r="57" spans="1:20" ht="12.75">
      <c r="A57" s="69"/>
      <c r="B57" s="23" t="s">
        <v>120</v>
      </c>
      <c r="C57" s="14" t="s">
        <v>161</v>
      </c>
      <c r="D57" s="33">
        <v>0</v>
      </c>
      <c r="E57" s="2">
        <v>0</v>
      </c>
      <c r="F57" s="107">
        <v>0</v>
      </c>
      <c r="G57" s="2">
        <v>0</v>
      </c>
      <c r="H57" s="10">
        <v>0</v>
      </c>
      <c r="I57" s="22">
        <v>0</v>
      </c>
      <c r="J57" s="23">
        <v>0</v>
      </c>
      <c r="K57" s="2">
        <v>0</v>
      </c>
      <c r="L57" s="157">
        <f>K57*Wi</f>
        <v>0</v>
      </c>
      <c r="M57" s="22"/>
      <c r="N57" s="2"/>
      <c r="O57" s="56"/>
      <c r="P57" s="24"/>
      <c r="Q57" s="23">
        <v>0</v>
      </c>
      <c r="R57" s="24"/>
      <c r="S57" s="39">
        <f aca="true" t="shared" si="0" ref="S57:S68">H57+I57+L57+N57+O57+P57+Q57+R57</f>
        <v>0</v>
      </c>
      <c r="T57" s="21"/>
    </row>
    <row r="58" spans="1:20" ht="12.75">
      <c r="A58" s="69"/>
      <c r="C58" t="s">
        <v>180</v>
      </c>
      <c r="D58" s="22" t="s">
        <v>85</v>
      </c>
      <c r="E58" s="22" t="s">
        <v>85</v>
      </c>
      <c r="F58" s="33">
        <v>0</v>
      </c>
      <c r="G58" s="34">
        <v>0</v>
      </c>
      <c r="H58" s="10">
        <v>0</v>
      </c>
      <c r="I58" s="22">
        <v>0</v>
      </c>
      <c r="J58" s="23">
        <f>240*Ki</f>
        <v>0</v>
      </c>
      <c r="K58" s="34">
        <f>J58*28</f>
        <v>0</v>
      </c>
      <c r="L58" s="157">
        <f>2970000</f>
        <v>2970000</v>
      </c>
      <c r="M58" s="22" t="s">
        <v>85</v>
      </c>
      <c r="N58" s="2">
        <v>0</v>
      </c>
      <c r="O58" s="2">
        <v>0</v>
      </c>
      <c r="P58" s="22">
        <f>320*1</f>
        <v>320</v>
      </c>
      <c r="Q58" s="133">
        <f>(3600+x*120)</f>
        <v>7080</v>
      </c>
      <c r="R58" s="137">
        <f>1800</f>
        <v>1800</v>
      </c>
      <c r="S58" s="39">
        <f t="shared" si="0"/>
        <v>2979200</v>
      </c>
      <c r="T58" s="45"/>
    </row>
    <row r="59" spans="1:20" ht="12.75">
      <c r="A59" s="69"/>
      <c r="D59" s="33"/>
      <c r="E59" s="10"/>
      <c r="F59" s="33"/>
      <c r="G59" s="34"/>
      <c r="H59" s="10"/>
      <c r="I59" s="22"/>
      <c r="J59" s="23"/>
      <c r="K59" s="34"/>
      <c r="L59" s="157"/>
      <c r="M59" s="22"/>
      <c r="N59" s="2"/>
      <c r="O59" s="2"/>
      <c r="P59" s="22"/>
      <c r="Q59" s="134"/>
      <c r="R59" s="135"/>
      <c r="S59" s="39"/>
      <c r="T59" s="45"/>
    </row>
    <row r="60" spans="1:20" ht="12.75">
      <c r="A60" s="69"/>
      <c r="B60" s="75" t="s">
        <v>99</v>
      </c>
      <c r="C60" t="s">
        <v>147</v>
      </c>
      <c r="D60" s="22" t="s">
        <v>85</v>
      </c>
      <c r="E60" s="10">
        <f>1*1.5*160*0.82</f>
        <v>196.79999999999998</v>
      </c>
      <c r="F60" s="33">
        <f>E60*p</f>
        <v>60.023999999999994</v>
      </c>
      <c r="G60" s="10">
        <f>F60*21</f>
        <v>1260.504</v>
      </c>
      <c r="H60" s="10">
        <f>G60*Zi</f>
        <v>9768.905999999999</v>
      </c>
      <c r="I60" s="22">
        <v>5000</v>
      </c>
      <c r="J60" s="34">
        <f>2*1.38*F60*(1+k)</f>
        <v>331.3324799999999</v>
      </c>
      <c r="K60" s="10">
        <f>6*J60</f>
        <v>1987.9948799999995</v>
      </c>
      <c r="L60" s="157">
        <f>K60*La</f>
        <v>119279.69279999998</v>
      </c>
      <c r="M60" s="22">
        <v>0</v>
      </c>
      <c r="N60" s="2">
        <v>0</v>
      </c>
      <c r="O60" s="2"/>
      <c r="P60" s="22">
        <f>320*1</f>
        <v>320</v>
      </c>
      <c r="Q60" s="135">
        <f>2*7*160</f>
        <v>2240</v>
      </c>
      <c r="R60" s="135"/>
      <c r="S60" s="39">
        <f t="shared" si="0"/>
        <v>136608.59879999998</v>
      </c>
      <c r="T60" s="45"/>
    </row>
    <row r="61" spans="2:20" ht="12.75">
      <c r="B61" s="21"/>
      <c r="C61" s="14" t="s">
        <v>142</v>
      </c>
      <c r="D61" s="22">
        <v>0</v>
      </c>
      <c r="E61" s="10">
        <f>D61*0.25</f>
        <v>0</v>
      </c>
      <c r="F61" s="37">
        <v>0</v>
      </c>
      <c r="G61" s="34">
        <f>E61*pc</f>
        <v>0</v>
      </c>
      <c r="H61" s="34">
        <f>G61*Zc</f>
        <v>0</v>
      </c>
      <c r="I61" s="22">
        <v>0</v>
      </c>
      <c r="J61" s="23">
        <v>0</v>
      </c>
      <c r="K61" s="10">
        <f>J61*Nt*ni*0.5</f>
        <v>0</v>
      </c>
      <c r="L61" s="158">
        <f>K61*La</f>
        <v>0</v>
      </c>
      <c r="M61" s="22" t="s">
        <v>85</v>
      </c>
      <c r="N61" s="2">
        <v>0</v>
      </c>
      <c r="O61" s="56">
        <v>0</v>
      </c>
      <c r="P61" s="23">
        <v>0</v>
      </c>
      <c r="Q61" s="134">
        <f>2*7*40</f>
        <v>560</v>
      </c>
      <c r="R61" s="135"/>
      <c r="S61" s="39">
        <f t="shared" si="0"/>
        <v>560</v>
      </c>
      <c r="T61" s="21"/>
    </row>
    <row r="62" spans="2:20" ht="12.75">
      <c r="B62" s="21"/>
      <c r="C62" s="14"/>
      <c r="D62" s="22"/>
      <c r="E62" s="10"/>
      <c r="F62" s="37"/>
      <c r="G62" s="34"/>
      <c r="H62" s="34"/>
      <c r="I62" s="22"/>
      <c r="J62" s="23"/>
      <c r="K62" s="10"/>
      <c r="L62" s="158"/>
      <c r="M62" s="22"/>
      <c r="N62" s="2"/>
      <c r="O62" s="56"/>
      <c r="P62" s="23"/>
      <c r="Q62" s="134"/>
      <c r="R62" s="135"/>
      <c r="S62" s="39"/>
      <c r="T62" s="21"/>
    </row>
    <row r="63" spans="2:21" ht="12.75">
      <c r="B63" s="114" t="s">
        <v>148</v>
      </c>
      <c r="C63" s="14" t="s">
        <v>146</v>
      </c>
      <c r="D63" s="22" t="s">
        <v>85</v>
      </c>
      <c r="E63" s="10" t="s">
        <v>91</v>
      </c>
      <c r="F63" s="37" t="s">
        <v>91</v>
      </c>
      <c r="G63" s="34" t="s">
        <v>85</v>
      </c>
      <c r="H63" s="34">
        <f>0</f>
        <v>0</v>
      </c>
      <c r="I63" s="22">
        <v>0</v>
      </c>
      <c r="J63" s="23">
        <v>0</v>
      </c>
      <c r="K63" s="10">
        <f>21*J63</f>
        <v>0</v>
      </c>
      <c r="L63" s="158">
        <f>K63*Wi</f>
        <v>0</v>
      </c>
      <c r="M63" s="22"/>
      <c r="N63" s="2"/>
      <c r="O63" s="56"/>
      <c r="P63" s="23"/>
      <c r="Q63" s="134">
        <f>0</f>
        <v>0</v>
      </c>
      <c r="R63" s="135"/>
      <c r="S63" s="39">
        <f t="shared" si="0"/>
        <v>0</v>
      </c>
      <c r="T63" s="21"/>
      <c r="U63" s="105"/>
    </row>
    <row r="64" spans="2:20" ht="12.75">
      <c r="B64" s="21"/>
      <c r="C64" s="14" t="s">
        <v>179</v>
      </c>
      <c r="D64" s="33">
        <f>S*2</f>
        <v>126000</v>
      </c>
      <c r="E64" s="99">
        <f>D64*0.005</f>
        <v>630</v>
      </c>
      <c r="F64" s="111" t="s">
        <v>85</v>
      </c>
      <c r="G64" s="111">
        <f>0</f>
        <v>0</v>
      </c>
      <c r="H64" s="34">
        <f>G64*3</f>
        <v>0</v>
      </c>
      <c r="I64" s="22"/>
      <c r="J64" s="23"/>
      <c r="K64" s="10"/>
      <c r="L64" s="158"/>
      <c r="M64" s="22"/>
      <c r="N64" s="2"/>
      <c r="O64" s="56"/>
      <c r="P64" s="23"/>
      <c r="Q64" s="134">
        <f>0</f>
        <v>0</v>
      </c>
      <c r="R64" s="135"/>
      <c r="S64" s="39">
        <f t="shared" si="0"/>
        <v>0</v>
      </c>
      <c r="T64" s="21"/>
    </row>
    <row r="65" spans="2:20" ht="12.75">
      <c r="B65" s="21"/>
      <c r="C65" s="14"/>
      <c r="D65" s="33"/>
      <c r="E65" s="99"/>
      <c r="F65" s="111"/>
      <c r="G65" s="111"/>
      <c r="H65" s="99"/>
      <c r="I65" s="23"/>
      <c r="J65" s="23"/>
      <c r="K65" s="10"/>
      <c r="L65" s="159"/>
      <c r="M65" s="23"/>
      <c r="N65" s="2"/>
      <c r="O65" s="56"/>
      <c r="P65" s="23"/>
      <c r="Q65" s="134"/>
      <c r="R65" s="135"/>
      <c r="S65" s="99"/>
      <c r="T65" s="21"/>
    </row>
    <row r="66" spans="2:20" ht="12.75">
      <c r="B66" s="114" t="s">
        <v>149</v>
      </c>
      <c r="C66" s="14" t="s">
        <v>143</v>
      </c>
      <c r="D66" s="22">
        <f>21*8*2</f>
        <v>336</v>
      </c>
      <c r="E66" s="10" t="s">
        <v>94</v>
      </c>
      <c r="F66" s="37" t="s">
        <v>91</v>
      </c>
      <c r="G66" s="34" t="s">
        <v>85</v>
      </c>
      <c r="H66" s="99">
        <f>D66*10</f>
        <v>3360</v>
      </c>
      <c r="I66" s="23">
        <v>2400</v>
      </c>
      <c r="J66" s="23">
        <v>0</v>
      </c>
      <c r="K66" s="10">
        <v>0</v>
      </c>
      <c r="L66" s="159">
        <v>0</v>
      </c>
      <c r="M66" s="23" t="s">
        <v>85</v>
      </c>
      <c r="N66" s="165">
        <f>D66*2*La</f>
        <v>40320</v>
      </c>
      <c r="O66" s="56">
        <v>0</v>
      </c>
      <c r="P66" s="23">
        <v>0</v>
      </c>
      <c r="Q66" s="135">
        <f>200</f>
        <v>200</v>
      </c>
      <c r="R66" s="135"/>
      <c r="S66" s="99">
        <f t="shared" si="0"/>
        <v>46280</v>
      </c>
      <c r="T66" s="21"/>
    </row>
    <row r="67" spans="2:20" ht="12.75">
      <c r="B67" s="114"/>
      <c r="C67" s="53"/>
      <c r="D67" s="23"/>
      <c r="E67" s="99"/>
      <c r="F67" s="111"/>
      <c r="G67" s="34"/>
      <c r="H67" s="99"/>
      <c r="I67" s="23"/>
      <c r="J67" s="23"/>
      <c r="K67" s="10"/>
      <c r="L67" s="99"/>
      <c r="M67" s="23"/>
      <c r="N67" s="23"/>
      <c r="O67" s="56"/>
      <c r="P67" s="23"/>
      <c r="Q67" s="135"/>
      <c r="R67" s="135"/>
      <c r="S67" s="99"/>
      <c r="T67" s="21"/>
    </row>
    <row r="68" spans="2:20" ht="28.5" customHeight="1">
      <c r="B68" s="121" t="s">
        <v>150</v>
      </c>
      <c r="C68" s="122" t="s">
        <v>181</v>
      </c>
      <c r="E68" s="108"/>
      <c r="H68" s="109"/>
      <c r="I68" s="74"/>
      <c r="J68" s="1">
        <v>80</v>
      </c>
      <c r="K68" s="162">
        <f>J68*28</f>
        <v>2240</v>
      </c>
      <c r="L68" s="110">
        <f>K68*Wi</f>
        <v>224000</v>
      </c>
      <c r="N68" s="74"/>
      <c r="O68" s="104"/>
      <c r="P68" s="74"/>
      <c r="Q68" s="136"/>
      <c r="R68" s="136"/>
      <c r="S68" s="99">
        <f t="shared" si="0"/>
        <v>224000</v>
      </c>
      <c r="T68" s="84">
        <f>SUM(S57:S68)</f>
        <v>3386648.5988</v>
      </c>
    </row>
    <row r="69" spans="2:20" ht="12.75">
      <c r="B69" s="21"/>
      <c r="C69" s="14"/>
      <c r="D69" s="22"/>
      <c r="E69" s="2"/>
      <c r="F69" s="22"/>
      <c r="G69" s="2"/>
      <c r="H69" s="164">
        <f>SUM(H57:H66)</f>
        <v>13128.905999999999</v>
      </c>
      <c r="I69" s="43">
        <f>SUM(I57:I66)</f>
        <v>7400</v>
      </c>
      <c r="J69" s="23"/>
      <c r="K69" s="44"/>
      <c r="L69" s="43">
        <f>SUM(L57:L68)</f>
        <v>3313279.6928</v>
      </c>
      <c r="M69" s="22"/>
      <c r="N69" s="44">
        <f>N66+N61+N58</f>
        <v>40320</v>
      </c>
      <c r="O69" s="56"/>
      <c r="P69" s="24">
        <f>SUM(P57:P68)</f>
        <v>640</v>
      </c>
      <c r="Q69" s="132">
        <f>SUM(Q57:Q68)</f>
        <v>10080</v>
      </c>
      <c r="R69" s="132">
        <f>R61+R58</f>
        <v>1800</v>
      </c>
      <c r="S69" s="39"/>
      <c r="T69" s="21"/>
    </row>
    <row r="70" spans="2:20" ht="12.75">
      <c r="B70" s="21"/>
      <c r="C70" s="14"/>
      <c r="D70" s="22"/>
      <c r="E70" s="2"/>
      <c r="F70" s="22"/>
      <c r="G70" s="2"/>
      <c r="H70" s="43"/>
      <c r="I70" s="22"/>
      <c r="J70" s="23"/>
      <c r="K70" s="44"/>
      <c r="L70" s="43"/>
      <c r="M70" s="22"/>
      <c r="N70" s="2"/>
      <c r="O70" s="2"/>
      <c r="P70" s="25"/>
      <c r="Q70" s="19" t="s">
        <v>97</v>
      </c>
      <c r="R70" s="23">
        <f>R69+Q69+P69</f>
        <v>12520</v>
      </c>
      <c r="S70" s="39"/>
      <c r="T70" s="68"/>
    </row>
    <row r="71" spans="1:20" ht="12.75">
      <c r="A71" s="69"/>
      <c r="C71" s="69"/>
      <c r="D71"/>
      <c r="E71" s="69"/>
      <c r="F71"/>
      <c r="G71"/>
      <c r="H71" s="69"/>
      <c r="L71"/>
      <c r="M71" s="6"/>
      <c r="O71" s="69"/>
      <c r="R71" s="69"/>
      <c r="S71" s="39"/>
      <c r="T71" s="21"/>
    </row>
    <row r="72" spans="2:20" ht="12.75">
      <c r="B72" s="22"/>
      <c r="C72" s="53" t="s">
        <v>102</v>
      </c>
      <c r="D72" s="22" t="s">
        <v>85</v>
      </c>
      <c r="E72" s="56" t="s">
        <v>85</v>
      </c>
      <c r="F72" s="22" t="s">
        <v>85</v>
      </c>
      <c r="G72" s="2" t="s">
        <v>85</v>
      </c>
      <c r="H72" s="70">
        <v>0</v>
      </c>
      <c r="I72" s="25">
        <v>0</v>
      </c>
      <c r="J72" s="34" t="s">
        <v>85</v>
      </c>
      <c r="K72" s="10">
        <f>3155*Ka</f>
        <v>0</v>
      </c>
      <c r="L72" s="43">
        <f>K72*Wi</f>
        <v>0</v>
      </c>
      <c r="M72" s="22" t="s">
        <v>85</v>
      </c>
      <c r="N72" s="44">
        <v>0</v>
      </c>
      <c r="O72" s="70">
        <v>0</v>
      </c>
      <c r="P72" s="25">
        <v>0</v>
      </c>
      <c r="Q72" s="24">
        <v>0</v>
      </c>
      <c r="R72" s="70">
        <v>0</v>
      </c>
      <c r="S72" s="39">
        <f>H72+I72+L72+N72+O72+P72+Q72+R72</f>
        <v>0</v>
      </c>
      <c r="T72" s="35"/>
    </row>
    <row r="73" spans="1:20" ht="12.75">
      <c r="A73" s="69"/>
      <c r="C73" s="69"/>
      <c r="D73"/>
      <c r="E73" s="69"/>
      <c r="F73"/>
      <c r="G73"/>
      <c r="H73" s="69"/>
      <c r="L73"/>
      <c r="M73" s="6"/>
      <c r="O73" s="69"/>
      <c r="R73" s="69"/>
      <c r="S73" s="39"/>
      <c r="T73" s="21"/>
    </row>
    <row r="74" spans="2:20" ht="12.75">
      <c r="B74" s="22"/>
      <c r="C74" s="14" t="s">
        <v>84</v>
      </c>
      <c r="D74" s="22" t="s">
        <v>85</v>
      </c>
      <c r="E74" s="2" t="s">
        <v>85</v>
      </c>
      <c r="F74" s="22" t="s">
        <v>85</v>
      </c>
      <c r="G74" s="2" t="s">
        <v>85</v>
      </c>
      <c r="H74" s="43">
        <v>30000</v>
      </c>
      <c r="I74" s="25">
        <v>0</v>
      </c>
      <c r="J74" s="23">
        <v>0</v>
      </c>
      <c r="K74" s="10">
        <f>3000+Nt*N*0.5*Ki</f>
        <v>3000</v>
      </c>
      <c r="L74" s="58">
        <f>K74*Wi</f>
        <v>300000</v>
      </c>
      <c r="M74" s="22">
        <f>154*3*k+56*np*k</f>
        <v>462</v>
      </c>
      <c r="N74" s="78">
        <f>M74*We*2*(1+Kn)*Wi</f>
        <v>6652.799999999999</v>
      </c>
      <c r="O74" s="44">
        <f>330*Wi*k</f>
        <v>33000</v>
      </c>
      <c r="P74" s="25">
        <v>0</v>
      </c>
      <c r="Q74" s="24">
        <v>0</v>
      </c>
      <c r="R74" s="24">
        <v>0</v>
      </c>
      <c r="S74" s="39">
        <f>H74+I74+L74+N74+O74+P74+Q74+R74</f>
        <v>369652.8</v>
      </c>
      <c r="T74" s="21"/>
    </row>
    <row r="75" spans="2:20" ht="12.75">
      <c r="B75" s="22"/>
      <c r="C75" s="14"/>
      <c r="D75" s="22"/>
      <c r="E75" s="2"/>
      <c r="F75" s="22"/>
      <c r="G75" s="2"/>
      <c r="H75" s="10"/>
      <c r="I75" s="22"/>
      <c r="J75" s="23"/>
      <c r="K75" s="2"/>
      <c r="L75" s="43"/>
      <c r="M75" s="33"/>
      <c r="N75" s="2"/>
      <c r="O75" s="2"/>
      <c r="P75" s="22"/>
      <c r="Q75" s="23"/>
      <c r="R75" s="23"/>
      <c r="S75" s="39"/>
      <c r="T75" s="21"/>
    </row>
    <row r="76" spans="2:20" ht="12.75">
      <c r="B76" s="22"/>
      <c r="C76" s="14"/>
      <c r="D76" s="22"/>
      <c r="E76" s="2"/>
      <c r="F76" s="22"/>
      <c r="G76" s="2"/>
      <c r="H76" s="2"/>
      <c r="I76" s="21"/>
      <c r="J76" s="14"/>
      <c r="K76" s="3"/>
      <c r="M76" s="21"/>
      <c r="N76" s="3"/>
      <c r="O76" s="3"/>
      <c r="P76" s="21"/>
      <c r="Q76" s="14"/>
      <c r="R76" s="14"/>
      <c r="S76" s="39"/>
      <c r="T76" s="14"/>
    </row>
    <row r="77" spans="2:20" ht="12.75">
      <c r="B77" s="32"/>
      <c r="C77" s="20" t="s">
        <v>103</v>
      </c>
      <c r="D77" s="32" t="s">
        <v>85</v>
      </c>
      <c r="E77" s="11" t="s">
        <v>85</v>
      </c>
      <c r="F77" s="32" t="s">
        <v>85</v>
      </c>
      <c r="G77" s="11" t="s">
        <v>85</v>
      </c>
      <c r="H77" s="51">
        <v>40000</v>
      </c>
      <c r="I77" s="60">
        <v>0</v>
      </c>
      <c r="J77" s="11" t="s">
        <v>85</v>
      </c>
      <c r="K77" s="11">
        <v>480</v>
      </c>
      <c r="L77" s="51">
        <f>K77*Wi</f>
        <v>48000</v>
      </c>
      <c r="M77" s="32" t="s">
        <v>85</v>
      </c>
      <c r="N77" s="51">
        <v>0</v>
      </c>
      <c r="O77" s="51">
        <v>0</v>
      </c>
      <c r="P77" s="60">
        <v>0</v>
      </c>
      <c r="Q77" s="51">
        <f>62000</f>
        <v>62000</v>
      </c>
      <c r="R77" s="51">
        <v>0</v>
      </c>
      <c r="S77" s="46">
        <f>H77+I77+L77+N77+O77+P77+Q77+R77</f>
        <v>150000</v>
      </c>
      <c r="T77" s="3"/>
    </row>
    <row r="78" spans="2:20" ht="12.75">
      <c r="B78" s="3"/>
      <c r="C78" s="3"/>
      <c r="D78" s="3"/>
      <c r="E78" s="3"/>
      <c r="F78" s="3"/>
      <c r="G78" s="59">
        <f>SUM(G24:G77)</f>
        <v>15620.059555555556</v>
      </c>
      <c r="H78" s="43">
        <f>H77+H74+H72+H69+H55+H51+H44</f>
        <v>202138.5171111111</v>
      </c>
      <c r="I78" s="43">
        <f>I44+I47+I55+I69+I72+I74+I77</f>
        <v>9800</v>
      </c>
      <c r="J78" s="3"/>
      <c r="K78" s="50" t="s">
        <v>104</v>
      </c>
      <c r="L78" s="43">
        <f>L77+L74+L72+L69+L55+L51+L44+L34</f>
        <v>5092219.6928</v>
      </c>
      <c r="M78" s="3"/>
      <c r="N78" s="43">
        <f>N77+N74+N72+N69+N55+N47+N44</f>
        <v>46972.8</v>
      </c>
      <c r="O78" s="44">
        <f>(O30+O74)</f>
        <v>43000</v>
      </c>
      <c r="P78" s="43">
        <f>P69+P55+P44+P47</f>
        <v>1140</v>
      </c>
      <c r="Q78" s="43">
        <f>Q77+Q69+Q55+Q47+Q44</f>
        <v>78206.66666666667</v>
      </c>
      <c r="R78" s="64">
        <f>R69+R44</f>
        <v>101800</v>
      </c>
      <c r="S78" s="3"/>
      <c r="T78" s="117">
        <f>R78+Q78+P78+O78+N78+L78+I78+H78</f>
        <v>5575277.6765777785</v>
      </c>
    </row>
    <row r="79" spans="2:20" ht="12.75">
      <c r="B79" s="3"/>
      <c r="C79" s="3"/>
      <c r="D79" s="3"/>
      <c r="E79" s="3"/>
      <c r="F79" s="3" t="s">
        <v>105</v>
      </c>
      <c r="G79" s="59"/>
      <c r="H79" s="65"/>
      <c r="I79" s="3"/>
      <c r="J79" s="3"/>
      <c r="K79" s="50"/>
      <c r="L79" s="43"/>
      <c r="M79" s="3"/>
      <c r="N79" s="3"/>
      <c r="O79" s="3"/>
      <c r="P79" s="59"/>
      <c r="Q79" s="59"/>
      <c r="R79" s="59">
        <f>R78+Q78+P78</f>
        <v>181146.6666666667</v>
      </c>
      <c r="S79" s="3"/>
      <c r="T79" s="3"/>
    </row>
    <row r="80" spans="1:20" ht="12.75">
      <c r="A80" s="63" t="s">
        <v>106</v>
      </c>
      <c r="B80" s="74"/>
      <c r="C80" s="73" t="s">
        <v>107</v>
      </c>
      <c r="D80" s="51" t="s">
        <v>108</v>
      </c>
      <c r="E80" s="73" t="s">
        <v>109</v>
      </c>
      <c r="F80" s="3"/>
      <c r="G80" s="3"/>
      <c r="H80" s="3"/>
      <c r="I80" s="3"/>
      <c r="J80" s="3"/>
      <c r="K80" s="3"/>
      <c r="M80" s="3"/>
      <c r="P80" s="40" t="s">
        <v>110</v>
      </c>
      <c r="Q80" s="3"/>
      <c r="R80" s="3"/>
      <c r="S80" s="41">
        <f>SUM(S24:S77)</f>
        <v>5575277.676577778</v>
      </c>
      <c r="T80" s="67"/>
    </row>
    <row r="81" spans="1:20" ht="12.75">
      <c r="A81" s="75"/>
      <c r="B81" s="21"/>
      <c r="C81" s="3"/>
      <c r="D81" s="3"/>
      <c r="E81" s="53"/>
      <c r="F81" s="3"/>
      <c r="G81" s="3"/>
      <c r="H81" s="3"/>
      <c r="I81" s="3"/>
      <c r="J81" s="3"/>
      <c r="K81" s="59"/>
      <c r="M81" s="3"/>
      <c r="P81" s="40" t="s">
        <v>111</v>
      </c>
      <c r="Q81" s="3"/>
      <c r="R81" s="3"/>
      <c r="S81" s="3"/>
      <c r="T81" s="3"/>
    </row>
    <row r="82" spans="1:20" ht="12.75">
      <c r="A82" s="76" t="s">
        <v>112</v>
      </c>
      <c r="B82" s="6" t="s">
        <v>155</v>
      </c>
      <c r="D82" s="113">
        <f>(P78+Q78-Q77)/1000-D95</f>
        <v>-10062.653333333334</v>
      </c>
      <c r="E82" s="91">
        <f>D82/$D$111*100</f>
        <v>-107.16946863226278</v>
      </c>
      <c r="F82" s="3"/>
      <c r="G82" s="3"/>
      <c r="H82" s="3"/>
      <c r="I82" s="3"/>
      <c r="J82" s="3"/>
      <c r="K82" s="3"/>
      <c r="L82" s="59"/>
      <c r="M82" s="3"/>
      <c r="N82" s="3"/>
      <c r="O82" s="3"/>
      <c r="P82" s="3"/>
      <c r="Q82" s="3"/>
      <c r="R82" s="3"/>
      <c r="S82" s="3"/>
      <c r="T82" s="3"/>
    </row>
    <row r="83" spans="2:20" ht="12.75">
      <c r="B83" s="6" t="s">
        <v>75</v>
      </c>
      <c r="D83" s="113">
        <f>R44/1000</f>
        <v>100</v>
      </c>
      <c r="E83" s="91">
        <f>D83/$D$111*100</f>
        <v>1.065021968681515</v>
      </c>
      <c r="F83" s="10">
        <f>D83+D82</f>
        <v>-9962.653333333334</v>
      </c>
      <c r="G83" s="3"/>
      <c r="H83" s="3"/>
      <c r="I83" s="3"/>
      <c r="J83" s="3"/>
      <c r="K83" s="3"/>
      <c r="M83" s="3"/>
      <c r="N83" s="3"/>
      <c r="O83" s="3"/>
      <c r="P83" s="3"/>
      <c r="Q83" s="3"/>
      <c r="R83" s="3"/>
      <c r="S83" s="3"/>
      <c r="T83" s="3"/>
    </row>
    <row r="84" spans="2:20" ht="12.75">
      <c r="B84" s="6"/>
      <c r="D84" s="113"/>
      <c r="E84" s="91"/>
      <c r="F84" s="3"/>
      <c r="G84" s="3"/>
      <c r="H84" s="3"/>
      <c r="I84" s="3"/>
      <c r="J84" s="3"/>
      <c r="K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76" t="s">
        <v>166</v>
      </c>
      <c r="B85" s="6" t="s">
        <v>167</v>
      </c>
      <c r="D85" s="113">
        <f>L34/1000-L28/1000-L27/1000</f>
        <v>1084.8</v>
      </c>
      <c r="E85" s="91">
        <f>D85/$D$111*100</f>
        <v>11.553358316257075</v>
      </c>
      <c r="F85" s="3"/>
      <c r="G85" s="3"/>
      <c r="H85" s="3"/>
      <c r="I85" s="3"/>
      <c r="J85" s="3"/>
      <c r="K85" s="3"/>
      <c r="M85" s="3"/>
      <c r="N85" s="3"/>
      <c r="O85" s="3"/>
      <c r="P85" s="3"/>
      <c r="Q85" s="3"/>
      <c r="R85" s="3"/>
      <c r="S85" s="3"/>
      <c r="T85" s="3"/>
    </row>
    <row r="86" spans="1:12" ht="12.75">
      <c r="A86" s="75"/>
      <c r="B86" s="6" t="s">
        <v>113</v>
      </c>
      <c r="D86" s="113">
        <f>(L35+L36+L38+L40+L39+L37)/1000</f>
        <v>146.88</v>
      </c>
      <c r="E86" s="91">
        <f>D86/$D$111*100</f>
        <v>1.5643042675994094</v>
      </c>
      <c r="F86"/>
      <c r="G86"/>
      <c r="H86"/>
      <c r="L86"/>
    </row>
    <row r="87" spans="1:12" ht="12.75">
      <c r="A87" s="75"/>
      <c r="B87" s="6" t="s">
        <v>114</v>
      </c>
      <c r="D87" s="113">
        <f>(L27)/1000</f>
        <v>37.26</v>
      </c>
      <c r="E87" s="91">
        <f>D87/$D$111*100</f>
        <v>0.3968271855307325</v>
      </c>
      <c r="F87"/>
      <c r="G87"/>
      <c r="H87"/>
      <c r="L87"/>
    </row>
    <row r="88" spans="1:12" ht="12.75">
      <c r="A88" s="75"/>
      <c r="B88" s="6" t="s">
        <v>115</v>
      </c>
      <c r="D88" s="113">
        <f>L28/1000</f>
        <v>90</v>
      </c>
      <c r="E88" s="91">
        <f>D88/$D$111*100</f>
        <v>0.9585197718133636</v>
      </c>
      <c r="F88"/>
      <c r="G88"/>
      <c r="H88"/>
      <c r="L88"/>
    </row>
    <row r="89" spans="1:12" ht="12.75">
      <c r="A89" s="75"/>
      <c r="B89" s="6" t="s">
        <v>95</v>
      </c>
      <c r="D89" s="113">
        <f>L43/1000</f>
        <v>72</v>
      </c>
      <c r="E89" s="91">
        <f>D89/$D$111*100</f>
        <v>0.7668158174506908</v>
      </c>
      <c r="F89" s="115">
        <f>SUM(D85:D89)</f>
        <v>1430.9399999999998</v>
      </c>
      <c r="G89"/>
      <c r="H89"/>
      <c r="L89"/>
    </row>
    <row r="90" spans="1:12" ht="12.75">
      <c r="A90" s="75"/>
      <c r="B90" s="6"/>
      <c r="D90" s="113"/>
      <c r="E90" s="91"/>
      <c r="F90"/>
      <c r="G90"/>
      <c r="H90"/>
      <c r="L90"/>
    </row>
    <row r="91" spans="1:12" ht="12.75">
      <c r="A91" s="76" t="s">
        <v>116</v>
      </c>
      <c r="B91" s="6" t="s">
        <v>156</v>
      </c>
      <c r="D91" s="113">
        <f>(H78-H77)/1000-D98</f>
        <v>149.0096111111111</v>
      </c>
      <c r="E91" s="91">
        <f>D91/$D$111*100</f>
        <v>1.586985093780225</v>
      </c>
      <c r="F91"/>
      <c r="G91"/>
      <c r="H91"/>
      <c r="L91"/>
    </row>
    <row r="92" spans="1:12" ht="12.75">
      <c r="A92" s="76"/>
      <c r="B92" s="6"/>
      <c r="D92" s="113"/>
      <c r="E92" s="91"/>
      <c r="F92"/>
      <c r="G92"/>
      <c r="H92"/>
      <c r="L92"/>
    </row>
    <row r="93" spans="1:12" ht="12.75">
      <c r="A93" s="76" t="s">
        <v>117</v>
      </c>
      <c r="B93" s="6" t="s">
        <v>118</v>
      </c>
      <c r="D93" s="113">
        <f>O78/1000</f>
        <v>43</v>
      </c>
      <c r="E93" s="91">
        <f>D93/$D$111*100</f>
        <v>0.4579594465330515</v>
      </c>
      <c r="F93"/>
      <c r="G93"/>
      <c r="H93"/>
      <c r="L93"/>
    </row>
    <row r="94" spans="1:5" ht="12.75">
      <c r="A94" s="75"/>
      <c r="B94" s="6"/>
      <c r="D94" s="113"/>
      <c r="E94" s="91"/>
    </row>
    <row r="95" spans="1:5" ht="12.75">
      <c r="A95" s="118" t="s">
        <v>119</v>
      </c>
      <c r="B95" t="s">
        <v>152</v>
      </c>
      <c r="D95" s="131">
        <f>Q69</f>
        <v>10080</v>
      </c>
      <c r="E95" s="91">
        <f aca="true" t="shared" si="1" ref="E95:E100">D95/$D$111*100</f>
        <v>107.35421444309672</v>
      </c>
    </row>
    <row r="96" spans="1:5" ht="12.75">
      <c r="A96" s="120"/>
      <c r="B96" t="s">
        <v>75</v>
      </c>
      <c r="D96" s="131">
        <f>R58</f>
        <v>1800</v>
      </c>
      <c r="E96" s="91">
        <f t="shared" si="1"/>
        <v>19.17039543626727</v>
      </c>
    </row>
    <row r="97" spans="1:5" ht="12.75">
      <c r="A97" s="76"/>
      <c r="B97" s="6" t="s">
        <v>151</v>
      </c>
      <c r="D97" s="166">
        <f>N66/1000</f>
        <v>40.32</v>
      </c>
      <c r="E97" s="91">
        <f t="shared" si="1"/>
        <v>0.42941685777238686</v>
      </c>
    </row>
    <row r="98" spans="1:5" ht="12.75">
      <c r="A98" s="76"/>
      <c r="B98" s="6" t="s">
        <v>116</v>
      </c>
      <c r="D98" s="163">
        <f>H69/1000</f>
        <v>13.128905999999999</v>
      </c>
      <c r="E98" s="91">
        <f t="shared" si="1"/>
        <v>0.13982573314754554</v>
      </c>
    </row>
    <row r="99" spans="1:5" ht="12.75">
      <c r="A99" s="75"/>
      <c r="B99" s="6" t="s">
        <v>194</v>
      </c>
      <c r="D99" s="160">
        <f>SUM(L57:L66)/1000</f>
        <v>3089.2796928</v>
      </c>
      <c r="E99" s="91">
        <f t="shared" si="1"/>
        <v>32.90150740233682</v>
      </c>
    </row>
    <row r="100" spans="1:6" ht="12.75">
      <c r="A100" s="75"/>
      <c r="B100" s="6" t="s">
        <v>195</v>
      </c>
      <c r="D100" s="161">
        <f>K68</f>
        <v>2240</v>
      </c>
      <c r="E100" s="91">
        <f t="shared" si="1"/>
        <v>23.856492098465935</v>
      </c>
      <c r="F100" s="125">
        <f>SUM(D95:D100)</f>
        <v>17262.7285988</v>
      </c>
    </row>
    <row r="101" spans="1:5" ht="12.75">
      <c r="A101" s="75"/>
      <c r="B101" s="6"/>
      <c r="D101" s="113"/>
      <c r="E101" s="91"/>
    </row>
    <row r="102" spans="1:5" ht="12.75">
      <c r="A102" s="76" t="s">
        <v>121</v>
      </c>
      <c r="B102" s="6" t="s">
        <v>154</v>
      </c>
      <c r="D102" s="113">
        <f>L55/1000</f>
        <v>0</v>
      </c>
      <c r="E102" s="91">
        <f>D102/$D$111*100</f>
        <v>0</v>
      </c>
    </row>
    <row r="103" spans="1:5" ht="12.75">
      <c r="A103" s="75"/>
      <c r="B103" s="6"/>
      <c r="D103" s="113"/>
      <c r="E103" s="91"/>
    </row>
    <row r="104" spans="1:5" ht="12.75">
      <c r="A104" s="76" t="s">
        <v>122</v>
      </c>
      <c r="B104" s="6" t="s">
        <v>153</v>
      </c>
      <c r="D104" s="113">
        <f>L51/1000</f>
        <v>0</v>
      </c>
      <c r="E104" s="91">
        <f>D104/$D$111*100</f>
        <v>0</v>
      </c>
    </row>
    <row r="105" spans="1:5" ht="12.75">
      <c r="A105" s="75"/>
      <c r="B105" s="6"/>
      <c r="D105" s="113"/>
      <c r="E105" s="91"/>
    </row>
    <row r="106" spans="1:5" ht="12.75">
      <c r="A106" s="76" t="s">
        <v>123</v>
      </c>
      <c r="B106" s="6" t="s">
        <v>168</v>
      </c>
      <c r="D106" s="113">
        <f>(L74+N74)/1000</f>
        <v>306.6528</v>
      </c>
      <c r="E106" s="91">
        <f>D106/$D$111*100</f>
        <v>3.265919687576989</v>
      </c>
    </row>
    <row r="107" spans="1:5" ht="12.75">
      <c r="A107" s="76"/>
      <c r="B107" s="6"/>
      <c r="D107" s="113"/>
      <c r="E107" s="91"/>
    </row>
    <row r="108" spans="1:5" ht="12.75">
      <c r="A108" s="76" t="s">
        <v>124</v>
      </c>
      <c r="B108" s="6"/>
      <c r="D108" s="113">
        <f>I78/1000</f>
        <v>9.8</v>
      </c>
      <c r="E108" s="91">
        <f>D108/$D$111*100</f>
        <v>0.1043721529307885</v>
      </c>
    </row>
    <row r="109" spans="1:5" ht="12.75">
      <c r="A109" s="75"/>
      <c r="B109" s="6"/>
      <c r="D109" s="113"/>
      <c r="E109" s="91"/>
    </row>
    <row r="110" spans="1:5" ht="12.75">
      <c r="A110" s="76" t="s">
        <v>125</v>
      </c>
      <c r="B110" s="81" t="s">
        <v>126</v>
      </c>
      <c r="C110" s="74"/>
      <c r="D110" s="116">
        <f>S77/1000</f>
        <v>150</v>
      </c>
      <c r="E110" s="92">
        <f>D110/$D$111*100</f>
        <v>1.5975329530222726</v>
      </c>
    </row>
    <row r="111" spans="1:5" ht="12.75">
      <c r="A111" s="75"/>
      <c r="C111" s="75" t="s">
        <v>127</v>
      </c>
      <c r="D111" s="119">
        <f>SUM(D82:D110)</f>
        <v>9389.477676577775</v>
      </c>
      <c r="E111" s="85">
        <f>SUM(E82:E110)</f>
        <v>100.00000000000003</v>
      </c>
    </row>
    <row r="112" spans="4:5" ht="12.75">
      <c r="D112"/>
      <c r="E112"/>
    </row>
    <row r="113" spans="2:6" ht="12.75">
      <c r="B113" s="82"/>
      <c r="C113" s="82"/>
      <c r="D113" s="82"/>
      <c r="E113" s="82"/>
      <c r="F113" s="83"/>
    </row>
    <row r="114" spans="4:5" ht="12.75">
      <c r="D114"/>
      <c r="E114"/>
    </row>
    <row r="115" ht="12.75">
      <c r="A115" s="75"/>
    </row>
  </sheetData>
  <mergeCells count="1">
    <mergeCell ref="C36:C37"/>
  </mergeCells>
  <printOptions gridLines="1"/>
  <pageMargins left="0.75" right="0.75" top="0.25" bottom="0.17" header="0.5" footer="0.5"/>
  <pageSetup fitToHeight="1" fitToWidth="1" orientation="landscape" scale="41" r:id="rId2"/>
  <headerFooter alignWithMargins="0">
    <oddHeader>&amp;C&amp;A</oddHeader>
    <oddFooter xml:space="preserve">&amp;CPage &amp;P&amp;R&amp;F   &amp;A   &amp;D   &amp;T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D11" sqref="D11"/>
    </sheetView>
  </sheetViews>
  <sheetFormatPr defaultColWidth="9.00390625" defaultRowHeight="12.75"/>
  <cols>
    <col min="1" max="2" width="11.375" style="0" customWidth="1"/>
    <col min="3" max="3" width="13.375" style="0" customWidth="1"/>
    <col min="4" max="16384" width="11.375" style="0" customWidth="1"/>
  </cols>
  <sheetData>
    <row r="1" ht="12.75">
      <c r="A1" t="s">
        <v>182</v>
      </c>
    </row>
    <row r="3" ht="12.75">
      <c r="A3" t="s">
        <v>183</v>
      </c>
    </row>
    <row r="4" ht="12.75">
      <c r="A4" t="s">
        <v>184</v>
      </c>
    </row>
    <row r="5" ht="12.75">
      <c r="A5" t="s">
        <v>185</v>
      </c>
    </row>
    <row r="6" ht="12.75">
      <c r="A6" t="s">
        <v>186</v>
      </c>
    </row>
    <row r="8" spans="4:6" ht="12.75">
      <c r="D8" s="126" t="s">
        <v>187</v>
      </c>
      <c r="F8" t="s">
        <v>188</v>
      </c>
    </row>
    <row r="9" spans="2:6" ht="12.75">
      <c r="B9" t="str">
        <f>'est sheet'!B95:C95</f>
        <v>Design PFCs</v>
      </c>
      <c r="D9" s="139">
        <f>'est sheet'!D95:E95</f>
        <v>10080</v>
      </c>
      <c r="E9" s="126" t="s">
        <v>206</v>
      </c>
      <c r="F9" t="s">
        <v>190</v>
      </c>
    </row>
    <row r="10" spans="2:6" ht="12.75">
      <c r="B10" t="str">
        <f>'est sheet'!B96:C96</f>
        <v>Analysis</v>
      </c>
      <c r="D10" s="139">
        <f>'est sheet'!D96:E96</f>
        <v>1800</v>
      </c>
      <c r="E10" s="126" t="s">
        <v>206</v>
      </c>
      <c r="F10" t="s">
        <v>189</v>
      </c>
    </row>
    <row r="11" spans="2:6" ht="12.75">
      <c r="B11" t="str">
        <f>'est sheet'!B97:C97</f>
        <v>Weld on mount studs</v>
      </c>
      <c r="D11" s="130">
        <f>'est sheet'!D97:E97</f>
        <v>40.32</v>
      </c>
      <c r="E11" s="126" t="s">
        <v>187</v>
      </c>
      <c r="F11" t="s">
        <v>196</v>
      </c>
    </row>
    <row r="12" spans="2:6" ht="12.75">
      <c r="B12" t="str">
        <f>'est sheet'!B98:C98</f>
        <v>Material</v>
      </c>
      <c r="D12" s="103">
        <f>'est sheet'!D98:E98</f>
        <v>13.128905999999999</v>
      </c>
      <c r="E12" s="126" t="s">
        <v>187</v>
      </c>
      <c r="F12" t="s">
        <v>191</v>
      </c>
    </row>
    <row r="13" spans="2:6" ht="12.75">
      <c r="B13" t="str">
        <f>'est sheet'!B99:C99</f>
        <v>Fab PFCs and ribs(100%)</v>
      </c>
      <c r="D13" s="103">
        <f>'est sheet'!D99:E99</f>
        <v>3089.2796928</v>
      </c>
      <c r="E13" s="126" t="s">
        <v>187</v>
      </c>
      <c r="F13" t="s">
        <v>192</v>
      </c>
    </row>
    <row r="14" spans="2:5" ht="12.75">
      <c r="B14" t="str">
        <f>'est sheet'!B100:C100</f>
        <v>Install PFCs and ribs (100%)</v>
      </c>
      <c r="D14" s="127">
        <f>'est sheet'!D100:E100</f>
        <v>2240</v>
      </c>
      <c r="E14" t="s">
        <v>206</v>
      </c>
    </row>
    <row r="16" ht="12.75">
      <c r="D16" s="103"/>
    </row>
    <row r="20" spans="4:11" ht="12.75">
      <c r="D20" s="156" t="s">
        <v>200</v>
      </c>
      <c r="E20" s="156"/>
      <c r="F20" s="156" t="s">
        <v>201</v>
      </c>
      <c r="G20" s="156"/>
      <c r="H20" s="156" t="s">
        <v>202</v>
      </c>
      <c r="I20" s="156"/>
      <c r="J20" s="156" t="s">
        <v>203</v>
      </c>
      <c r="K20" s="156"/>
    </row>
    <row r="22" spans="2:6" ht="12.75">
      <c r="B22" t="s">
        <v>199</v>
      </c>
      <c r="D22" s="128"/>
      <c r="E22" s="128"/>
      <c r="F22" s="128"/>
    </row>
    <row r="24" spans="2:9" ht="12.75">
      <c r="B24" t="s">
        <v>197</v>
      </c>
      <c r="F24" s="129"/>
      <c r="G24" s="128"/>
      <c r="H24" s="128"/>
      <c r="I24" s="128"/>
    </row>
    <row r="26" spans="2:10" ht="12.75">
      <c r="B26" t="s">
        <v>198</v>
      </c>
      <c r="I26" s="129"/>
      <c r="J26" s="128"/>
    </row>
    <row r="30" ht="13.5" thickBot="1"/>
    <row r="31" spans="2:11" ht="12.75">
      <c r="B31" s="140"/>
      <c r="C31" s="141"/>
      <c r="D31" s="141"/>
      <c r="E31" s="141"/>
      <c r="F31" s="141"/>
      <c r="G31" s="141"/>
      <c r="H31" s="141"/>
      <c r="I31" s="141"/>
      <c r="J31" s="141"/>
      <c r="K31" s="142"/>
    </row>
    <row r="32" spans="2:11" ht="12.75">
      <c r="B32" s="143" t="s">
        <v>204</v>
      </c>
      <c r="C32" s="105"/>
      <c r="D32" s="144">
        <v>0.3</v>
      </c>
      <c r="E32" s="105" t="s">
        <v>205</v>
      </c>
      <c r="F32" s="105"/>
      <c r="G32" s="105"/>
      <c r="H32" s="105"/>
      <c r="I32" s="105"/>
      <c r="J32" s="105"/>
      <c r="K32" s="145"/>
    </row>
    <row r="33" spans="2:11" ht="12.75">
      <c r="B33" s="146"/>
      <c r="C33" s="105"/>
      <c r="D33" s="105"/>
      <c r="E33" s="147"/>
      <c r="F33" s="105"/>
      <c r="G33" s="105"/>
      <c r="H33" s="105"/>
      <c r="I33" s="105"/>
      <c r="J33" s="105"/>
      <c r="K33" s="145"/>
    </row>
    <row r="34" spans="2:11" ht="12.75">
      <c r="B34" s="146"/>
      <c r="C34" s="105"/>
      <c r="D34" s="105"/>
      <c r="E34" s="147"/>
      <c r="F34" s="105" t="s">
        <v>188</v>
      </c>
      <c r="G34" s="105"/>
      <c r="H34" s="105"/>
      <c r="I34" s="105"/>
      <c r="J34" s="105"/>
      <c r="K34" s="145"/>
    </row>
    <row r="35" spans="2:11" ht="12.75">
      <c r="B35" s="146" t="str">
        <f aca="true" t="shared" si="0" ref="B35:B40">+B9</f>
        <v>Design PFCs</v>
      </c>
      <c r="C35" s="105"/>
      <c r="D35" s="148">
        <f>D9</f>
        <v>10080</v>
      </c>
      <c r="E35" s="147" t="s">
        <v>206</v>
      </c>
      <c r="F35" s="105" t="s">
        <v>208</v>
      </c>
      <c r="G35" s="105"/>
      <c r="H35" s="105"/>
      <c r="I35" s="105"/>
      <c r="J35" s="105"/>
      <c r="K35" s="145"/>
    </row>
    <row r="36" spans="2:11" ht="12.75">
      <c r="B36" s="146" t="str">
        <f t="shared" si="0"/>
        <v>Analysis</v>
      </c>
      <c r="C36" s="105"/>
      <c r="D36" s="148">
        <f>D10</f>
        <v>1800</v>
      </c>
      <c r="E36" s="147" t="s">
        <v>206</v>
      </c>
      <c r="F36" s="105" t="s">
        <v>189</v>
      </c>
      <c r="G36" s="105"/>
      <c r="H36" s="105"/>
      <c r="I36" s="105"/>
      <c r="J36" s="105"/>
      <c r="K36" s="145"/>
    </row>
    <row r="37" spans="2:11" ht="12.75">
      <c r="B37" s="146" t="str">
        <f t="shared" si="0"/>
        <v>Weld on mount studs</v>
      </c>
      <c r="C37" s="105"/>
      <c r="D37" s="149">
        <f>D32*D11</f>
        <v>12.096</v>
      </c>
      <c r="E37" s="147" t="s">
        <v>187</v>
      </c>
      <c r="F37" s="105" t="s">
        <v>196</v>
      </c>
      <c r="G37" s="105"/>
      <c r="H37" s="105"/>
      <c r="I37" s="105"/>
      <c r="J37" s="105"/>
      <c r="K37" s="145"/>
    </row>
    <row r="38" spans="2:11" ht="12.75">
      <c r="B38" s="146" t="str">
        <f t="shared" si="0"/>
        <v>Material</v>
      </c>
      <c r="C38" s="105"/>
      <c r="D38" s="150">
        <f>D32*D12</f>
        <v>3.9386717999999994</v>
      </c>
      <c r="E38" s="147" t="s">
        <v>187</v>
      </c>
      <c r="F38" s="105" t="s">
        <v>191</v>
      </c>
      <c r="G38" s="105"/>
      <c r="H38" s="105"/>
      <c r="I38" s="105"/>
      <c r="J38" s="105"/>
      <c r="K38" s="145"/>
    </row>
    <row r="39" spans="2:11" ht="12.75">
      <c r="B39" s="146" t="str">
        <f t="shared" si="0"/>
        <v>Fab PFCs and ribs(100%)</v>
      </c>
      <c r="C39" s="105"/>
      <c r="D39" s="150">
        <f>D13*D32</f>
        <v>926.7839078399999</v>
      </c>
      <c r="E39" s="147" t="s">
        <v>187</v>
      </c>
      <c r="F39" s="105" t="s">
        <v>192</v>
      </c>
      <c r="G39" s="105"/>
      <c r="H39" s="105"/>
      <c r="I39" s="105"/>
      <c r="J39" s="105"/>
      <c r="K39" s="145"/>
    </row>
    <row r="40" spans="2:11" ht="12.75">
      <c r="B40" s="146" t="str">
        <f t="shared" si="0"/>
        <v>Install PFCs and ribs (100%)</v>
      </c>
      <c r="C40" s="105"/>
      <c r="D40" s="127">
        <f>D14*D32</f>
        <v>672</v>
      </c>
      <c r="E40" s="147" t="s">
        <v>206</v>
      </c>
      <c r="F40" s="105"/>
      <c r="G40" s="105"/>
      <c r="H40" s="105"/>
      <c r="I40" s="105"/>
      <c r="J40" s="105"/>
      <c r="K40" s="145"/>
    </row>
    <row r="41" spans="2:11" ht="13.5" thickBot="1">
      <c r="B41" s="151"/>
      <c r="C41" s="152"/>
      <c r="D41" s="152"/>
      <c r="E41" s="152"/>
      <c r="F41" s="152"/>
      <c r="G41" s="152"/>
      <c r="H41" s="152"/>
      <c r="I41" s="152"/>
      <c r="J41" s="152"/>
      <c r="K41" s="153"/>
    </row>
    <row r="42" ht="12.75">
      <c r="D42" s="103"/>
    </row>
  </sheetData>
  <mergeCells count="4">
    <mergeCell ref="D20:E20"/>
    <mergeCell ref="F20:G20"/>
    <mergeCell ref="H20:I20"/>
    <mergeCell ref="J20:K20"/>
  </mergeCells>
  <printOptions gridLines="1"/>
  <pageMargins left="0.75" right="0.75" top="1" bottom="1" header="0.5" footer="0.5"/>
  <pageSetup fitToHeight="1" fitToWidth="1" horizontalDpi="600" verticalDpi="600" orientation="landscape" scale="80" r:id="rId1"/>
  <headerFooter alignWithMargins="0">
    <oddHeader>&amp;C&amp;A</oddHeader>
    <oddFooter>&amp;CPage &amp;P&amp;R&amp;F   &amp;A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L. Goranson</dc:creator>
  <cp:keywords/>
  <dc:description/>
  <cp:lastModifiedBy>rstrykowsky</cp:lastModifiedBy>
  <cp:lastPrinted>2007-07-25T18:22:45Z</cp:lastPrinted>
  <dcterms:created xsi:type="dcterms:W3CDTF">2000-12-11T19:27:19Z</dcterms:created>
  <dcterms:modified xsi:type="dcterms:W3CDTF">2007-07-25T18:22:46Z</dcterms:modified>
  <cp:category/>
  <cp:version/>
  <cp:contentType/>
  <cp:contentStatus/>
</cp:coreProperties>
</file>