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2390" windowHeight="9315" tabRatio="476" activeTab="0"/>
  </bookViews>
  <sheets>
    <sheet name="Main" sheetId="1" r:id="rId1"/>
    <sheet name="CDR - PDR COMPARISON" sheetId="2" r:id="rId2"/>
    <sheet name="." sheetId="3" r:id="rId3"/>
  </sheets>
  <externalReferences>
    <externalReference r:id="rId6"/>
  </externalReferences>
  <definedNames>
    <definedName name="des">'Main'!$F$64</definedName>
    <definedName name="DM">'Main'!$B$133</definedName>
    <definedName name="EASB">'Main'!$B$133</definedName>
    <definedName name="EEEM">'Main'!$B$129</definedName>
    <definedName name="EEEMH">'Main'!$D$129</definedName>
    <definedName name="EESM">'Main'!$B$130</definedName>
    <definedName name="EETB">'Main'!$B$131</definedName>
    <definedName name="emraki">'Main'!$B$129</definedName>
    <definedName name="eng">'Main'!#REF!</definedName>
    <definedName name="GA">'Main'!$B$132</definedName>
    <definedName name="hga">'Main'!#REF!</definedName>
    <definedName name="mtech">'Main'!#REF!</definedName>
    <definedName name="NCSX_Total">'.'!$C$23</definedName>
    <definedName name="NSTX_Total">'.'!$I$23</definedName>
    <definedName name="_xlnm.Print_Area" localSheetId="2">'.'!$A$1:$K$50</definedName>
    <definedName name="_xlnm.Print_Area" localSheetId="1">'CDR - PDR COMPARISON'!$A$5:$O$34</definedName>
    <definedName name="_xlnm.Print_Area" localSheetId="0">'Main'!$A$1:$AH$177</definedName>
    <definedName name="_xlnm.Print_Titles" localSheetId="0">'Main'!$1:$3</definedName>
    <definedName name="tech">'Main'!#REF!</definedName>
  </definedNames>
  <calcPr fullCalcOnLoad="1"/>
</workbook>
</file>

<file path=xl/comments1.xml><?xml version="1.0" encoding="utf-8"?>
<comments xmlns="http://schemas.openxmlformats.org/spreadsheetml/2006/main">
  <authors>
    <author>Charles Neumeyer</author>
  </authors>
  <commentList>
    <comment ref="D8" authorId="0">
      <text>
        <r>
          <rPr>
            <b/>
            <sz val="9"/>
            <rFont val="Geneva"/>
            <family val="0"/>
          </rPr>
          <t>This covers uninteruptible power for critical control and interlock systems and cryo system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<sst xmlns="http://schemas.openxmlformats.org/spreadsheetml/2006/main" count="553" uniqueCount="267">
  <si>
    <t>NSTX TF Power Supply changes</t>
  </si>
  <si>
    <t>NSTX OH PS changes</t>
  </si>
  <si>
    <t>Task of  NSTX TF PS changes</t>
  </si>
  <si>
    <t>Task of NSTX OH PS changes</t>
  </si>
  <si>
    <t>Standby Power for Cryo systems</t>
  </si>
  <si>
    <t>DC Cabling</t>
  </si>
  <si>
    <t>441 - Electrical Interlocks</t>
  </si>
  <si>
    <t>442 - Kirk Key Interlocks</t>
  </si>
  <si>
    <t xml:space="preserve">Cable Tray </t>
  </si>
  <si>
    <t>PSS</t>
  </si>
  <si>
    <t>ft/PSS</t>
  </si>
  <si>
    <t>ft/ckt</t>
  </si>
  <si>
    <t>Ckt</t>
  </si>
  <si>
    <t>Qnty</t>
  </si>
  <si>
    <t>Kirk Keys</t>
  </si>
  <si>
    <t>Ground Fault Monitor</t>
  </si>
  <si>
    <t>Install Tray</t>
  </si>
  <si>
    <t xml:space="preserve"> Materials &amp; Installation</t>
  </si>
  <si>
    <t>Design &amp; Supervision</t>
  </si>
  <si>
    <t>443 - Real Time Control</t>
  </si>
  <si>
    <t>444 - Instrumentation</t>
  </si>
  <si>
    <t>445 - Coil Protection</t>
  </si>
  <si>
    <t>446 - Ground Fault Monitor</t>
  </si>
  <si>
    <t>DC Circuit Hipots and Impedance Measurements</t>
  </si>
  <si>
    <t>UPS Systems</t>
  </si>
  <si>
    <t>∑MD</t>
  </si>
  <si>
    <t>Rate</t>
  </si>
  <si>
    <t>$K</t>
  </si>
  <si>
    <t>∑FTE</t>
  </si>
  <si>
    <t>Years</t>
  </si>
  <si>
    <t>FTE/yr</t>
  </si>
  <si>
    <t>M&amp;S --&gt;</t>
  </si>
  <si>
    <t>Spares--&gt;</t>
  </si>
  <si>
    <t>SC --&gt;</t>
  </si>
  <si>
    <t>Coil Power Supply Dummy Load Testing</t>
  </si>
  <si>
    <t>Electrical Interlock Testing</t>
  </si>
  <si>
    <t>Kirk Key Interlock Testing</t>
  </si>
  <si>
    <t>Real Time Control System Testing</t>
  </si>
  <si>
    <t>Instrumentation Test &amp; Calibration</t>
  </si>
  <si>
    <t>Coil Protection System Testing</t>
  </si>
  <si>
    <t>Ground Fault Monitor Testing</t>
  </si>
  <si>
    <t>Cont</t>
  </si>
  <si>
    <t>Cont %</t>
  </si>
  <si>
    <t>Total w/ Contingency</t>
  </si>
  <si>
    <t>Isolating Switch</t>
  </si>
  <si>
    <t>(k$/unit)</t>
  </si>
  <si>
    <t>Tech</t>
  </si>
  <si>
    <t>Cable</t>
  </si>
  <si>
    <t>racks</t>
  </si>
  <si>
    <t>Reactivate/new installation</t>
  </si>
  <si>
    <t>lot</t>
  </si>
  <si>
    <t>Grounding</t>
  </si>
  <si>
    <t>Misc. grounding</t>
  </si>
  <si>
    <t>Crate &amp; PS</t>
  </si>
  <si>
    <t xml:space="preserve">Procure PLC </t>
  </si>
  <si>
    <t>Procure I/O</t>
  </si>
  <si>
    <t>channels</t>
  </si>
  <si>
    <t xml:space="preserve">Design Drawings  &amp; Drawings changes , as-builts </t>
  </si>
  <si>
    <t>New drawings &amp; Misc. updates</t>
  </si>
  <si>
    <t xml:space="preserve">CDR  Power system </t>
  </si>
  <si>
    <t>All power systems</t>
  </si>
  <si>
    <t xml:space="preserve">PDR  Power system </t>
  </si>
  <si>
    <t xml:space="preserve">FDR D-Site </t>
  </si>
  <si>
    <t xml:space="preserve">Transrex D-Site </t>
  </si>
  <si>
    <t xml:space="preserve">C-Site </t>
  </si>
  <si>
    <t>452 - Electrical Systems Support</t>
  </si>
  <si>
    <t>453 - System Testing</t>
  </si>
  <si>
    <t>Transrex PS Maintenance</t>
  </si>
  <si>
    <t>AC Auxiliaries power panels etc., grounding etc.</t>
  </si>
  <si>
    <t>Procedures PTPs, ISTPs</t>
  </si>
  <si>
    <t>New Procedures</t>
  </si>
  <si>
    <t>Calculations</t>
  </si>
  <si>
    <t>Calculations - documentation</t>
  </si>
  <si>
    <t>Line Total</t>
  </si>
  <si>
    <t>Diagnostics sensor cabling</t>
  </si>
  <si>
    <t>cables</t>
  </si>
  <si>
    <t xml:space="preserve">FDR C-Site </t>
  </si>
  <si>
    <t>FDR Cabling</t>
  </si>
  <si>
    <t>FDR AC auxiliaries &amp; grounding</t>
  </si>
  <si>
    <t>Test Equipment</t>
  </si>
  <si>
    <t>1 + 1 spare</t>
  </si>
  <si>
    <t>Spare Units</t>
  </si>
  <si>
    <t>Spare Cost</t>
  </si>
  <si>
    <t>Total</t>
  </si>
  <si>
    <t>Total Cost</t>
  </si>
  <si>
    <t>Schedule</t>
  </si>
  <si>
    <t>Contingency</t>
  </si>
  <si>
    <t>Design/     Procurement</t>
  </si>
  <si>
    <t>xfmr/ panel</t>
  </si>
  <si>
    <t>DC Current Transducers (DCCTs)</t>
  </si>
  <si>
    <t>Signal Conditioning &amp; Associated Cabling</t>
  </si>
  <si>
    <t>Overload Protection &amp; Associated Cabling</t>
  </si>
  <si>
    <t>Design Interlock System</t>
  </si>
  <si>
    <t>Program PLC</t>
  </si>
  <si>
    <t>Design Interconnection</t>
  </si>
  <si>
    <t>Test Modified NSTX HCS</t>
  </si>
  <si>
    <t>Install I/O &amp; Cabling</t>
  </si>
  <si>
    <t>Develop Control Algorithms</t>
  </si>
  <si>
    <t>DC Potential Transducers (DCPTs)</t>
  </si>
  <si>
    <t>Ground Fault Protection</t>
  </si>
  <si>
    <t>1000MCM 5kV Cable For PSS</t>
  </si>
  <si>
    <t>Cost</t>
  </si>
  <si>
    <t>units</t>
  </si>
  <si>
    <t>ft</t>
  </si>
  <si>
    <t>($K)</t>
  </si>
  <si>
    <t>(md)</t>
  </si>
  <si>
    <t>TOTALS</t>
  </si>
  <si>
    <t>(%)</t>
  </si>
  <si>
    <t>D-site</t>
  </si>
  <si>
    <t>C-site</t>
  </si>
  <si>
    <t xml:space="preserve"> </t>
  </si>
  <si>
    <t>Test Cell AC Power Distribution</t>
  </si>
  <si>
    <t xml:space="preserve">D-site Pulsed AC Power Distribution </t>
  </si>
  <si>
    <t>Coil Power Supplies</t>
  </si>
  <si>
    <t>Multiplier</t>
  </si>
  <si>
    <t>Lockouts/protection/reactivate</t>
  </si>
  <si>
    <t>Reactivation</t>
  </si>
  <si>
    <t>1000MCM 5kV Cable</t>
  </si>
  <si>
    <t>Structural Supports</t>
  </si>
  <si>
    <t>Design &amp; Specification</t>
  </si>
  <si>
    <t>Procurement</t>
  </si>
  <si>
    <t>switch</t>
  </si>
  <si>
    <t>PS</t>
  </si>
  <si>
    <t>Ex-Test Cell AC Power Distribution</t>
  </si>
  <si>
    <t>Installation</t>
  </si>
  <si>
    <t>Commissioning</t>
  </si>
  <si>
    <t>M&amp;S</t>
  </si>
  <si>
    <t>Preop Testing</t>
  </si>
  <si>
    <t>Diagnostics AC Power Distribution</t>
  </si>
  <si>
    <t>D-to-C-site</t>
  </si>
  <si>
    <t>Unit Cost</t>
  </si>
  <si>
    <t>Units</t>
  </si>
  <si>
    <t>EEEM</t>
  </si>
  <si>
    <t>EESM</t>
  </si>
  <si>
    <t>EETB</t>
  </si>
  <si>
    <t>SC</t>
  </si>
  <si>
    <t>41- AC Power</t>
  </si>
  <si>
    <t>42 - AC/DC Converters</t>
  </si>
  <si>
    <t>43 - DC Systems</t>
  </si>
  <si>
    <t xml:space="preserve">Based on Input from Diagnostics WBS </t>
  </si>
  <si>
    <t>Comments</t>
  </si>
  <si>
    <t>More work to ready C-site test cell and bring C-site infrastructure into operation, compared to D-site</t>
  </si>
  <si>
    <t>Approx equal</t>
  </si>
  <si>
    <t>Not req'd for NSTX</t>
  </si>
  <si>
    <t>NCSX system new, NSTX was modification of existing</t>
  </si>
  <si>
    <t>NCSX is covered in different WBS</t>
  </si>
  <si>
    <t>Not costed in NSTX baseline</t>
  </si>
  <si>
    <t>NCSX design plus test approx equal to NSTX</t>
  </si>
  <si>
    <t>NSTX was covered in different WBS</t>
  </si>
  <si>
    <t>In system design on NSTX</t>
  </si>
  <si>
    <t>NSTX was underestimated</t>
  </si>
  <si>
    <t>NCSX has more work per circuit but fewer circuits</t>
  </si>
  <si>
    <t>NCSX requires interface between C-and D-sites</t>
  </si>
  <si>
    <t>44 - Control &amp; Protection Systems</t>
  </si>
  <si>
    <t>45 - System Design and Integration</t>
  </si>
  <si>
    <t>411 - Auxiliary AC Power</t>
  </si>
  <si>
    <t>412 - Experimental AC Power</t>
  </si>
  <si>
    <t>421 - C-site AC/DC Converters</t>
  </si>
  <si>
    <t>422 - D-site AC/DC Converters</t>
  </si>
  <si>
    <t>431 - C-site DC Systems</t>
  </si>
  <si>
    <t>432 - D-to-C-Site DC Systems</t>
  </si>
  <si>
    <t>433 - D-site DC Systems</t>
  </si>
  <si>
    <t>451 - System Design</t>
  </si>
  <si>
    <t>NCSX w/o Cntg</t>
  </si>
  <si>
    <t>NCSX w/Cntg</t>
  </si>
  <si>
    <t>NSTX w/Cntg</t>
  </si>
  <si>
    <t>Start date</t>
  </si>
  <si>
    <t>Finish date</t>
  </si>
  <si>
    <t xml:space="preserve">D site </t>
  </si>
  <si>
    <t>C site</t>
  </si>
  <si>
    <t>FDR DC transmission</t>
  </si>
  <si>
    <t>D-site to C-site</t>
  </si>
  <si>
    <t>IN MAN HOURS</t>
  </si>
  <si>
    <t>46- FCPCBuilding Modifications</t>
  </si>
  <si>
    <t>Based on Input from Mech./construction</t>
  </si>
  <si>
    <t>Mechanical Clearing</t>
  </si>
  <si>
    <t>Clear area in West wing from SPS cabinets to HVAC equipment (Elect)</t>
  </si>
  <si>
    <t>460-02</t>
  </si>
  <si>
    <t>460-01</t>
  </si>
  <si>
    <t>Floor &amp; Wall Penetrations</t>
  </si>
  <si>
    <t>Based on Input from Mech. (WBS-610)</t>
  </si>
  <si>
    <t>1 Wall penetration &amp; 20 floor penetrations</t>
  </si>
  <si>
    <t>460-03</t>
  </si>
  <si>
    <t>460-04</t>
  </si>
  <si>
    <t xml:space="preserve">Clear the small Vacuum prep lab </t>
  </si>
  <si>
    <t>Dm</t>
  </si>
  <si>
    <t>EADM</t>
  </si>
  <si>
    <t>cross check</t>
  </si>
  <si>
    <t>Estimate</t>
  </si>
  <si>
    <t>Cont $</t>
  </si>
  <si>
    <t>Estimate $</t>
  </si>
  <si>
    <t>TOTAL $</t>
  </si>
  <si>
    <t>NCSX CD-2 Cost Baseline Update Reconciliation</t>
  </si>
  <si>
    <t>Manager:</t>
  </si>
  <si>
    <t>WBS: 4</t>
  </si>
  <si>
    <t>Electrical Power Systems</t>
  </si>
  <si>
    <t>Raki Ramakrishnan</t>
  </si>
  <si>
    <t>CDR Base</t>
  </si>
  <si>
    <t>Revised Estimate</t>
  </si>
  <si>
    <t>Delta's</t>
  </si>
  <si>
    <t>46 - FCPC Building Modifications</t>
  </si>
  <si>
    <t>G&amp;A (MHX)</t>
  </si>
  <si>
    <t>Design System</t>
  </si>
  <si>
    <t>Install Equipment &amp; Cabling</t>
  </si>
  <si>
    <t>Assemble in Rack</t>
  </si>
  <si>
    <t>Bench Test</t>
  </si>
  <si>
    <t>Buy &amp; Fabricate cards</t>
  </si>
  <si>
    <t>ckt</t>
  </si>
  <si>
    <t>Structural Supports design</t>
  </si>
  <si>
    <t>Install Cable Outdoors</t>
  </si>
  <si>
    <t>Install Cable  indoors D-Site from NCSX SDS to NSTX SDS</t>
  </si>
  <si>
    <t>Pull &amp; Install trays&amp; Cables indoors D-Site from Transmission line to NCSX SDS</t>
  </si>
  <si>
    <t>Install traus &amp; Cable  indoors from Transmission to PCTB</t>
  </si>
  <si>
    <t xml:space="preserve"> Materials / Installation</t>
  </si>
  <si>
    <t xml:space="preserve"> Materials/ Installation</t>
  </si>
  <si>
    <t>Facilities efforts</t>
  </si>
  <si>
    <t>Reroute &amp; Reconnect in OH Bldg</t>
  </si>
  <si>
    <t>Reroute &amp; Reconnect in MG Basement</t>
  </si>
  <si>
    <t>Repositioning Switches in Test Cell Basment</t>
  </si>
  <si>
    <t>Switches</t>
  </si>
  <si>
    <t>Coil DC Cabling from Disconnect/Link Box (PCTB)</t>
  </si>
  <si>
    <t>Switch controls/ cabling</t>
  </si>
  <si>
    <t>Install tray with Supports</t>
  </si>
  <si>
    <t>DM</t>
  </si>
  <si>
    <t>Power Systems</t>
  </si>
  <si>
    <t>AC Power Systems</t>
  </si>
  <si>
    <t>Auxiliary AC Power Systems</t>
  </si>
  <si>
    <t>Experimental AC Power Systems</t>
  </si>
  <si>
    <t>AC/DC Converters</t>
  </si>
  <si>
    <t>D-Site AC/DC Converters</t>
  </si>
  <si>
    <t>DC Systems</t>
  </si>
  <si>
    <t>C-Site DC Systems</t>
  </si>
  <si>
    <t>D-to-C Site DC Systems</t>
  </si>
  <si>
    <t>D-Site DC Systems</t>
  </si>
  <si>
    <t>Control &amp; Protection Systems</t>
  </si>
  <si>
    <t>Electrical Interlocks</t>
  </si>
  <si>
    <t>Kirk Key Interlocks</t>
  </si>
  <si>
    <t>Real Time Control</t>
  </si>
  <si>
    <t>Instrumentation</t>
  </si>
  <si>
    <t>Coil Protection</t>
  </si>
  <si>
    <t>Electrical System Design and Integration</t>
  </si>
  <si>
    <t>System Design</t>
  </si>
  <si>
    <t>Electrical Systems Support</t>
  </si>
  <si>
    <t xml:space="preserve"> FCPCBuilding Modifications</t>
  </si>
  <si>
    <t>k$</t>
  </si>
  <si>
    <t xml:space="preserve">Procurement </t>
  </si>
  <si>
    <t>Design</t>
  </si>
  <si>
    <t>PPPL Labor</t>
  </si>
  <si>
    <t>Subcontract</t>
  </si>
  <si>
    <t>k$ loaded with contingency</t>
  </si>
  <si>
    <t>Notes:</t>
  </si>
  <si>
    <t>Ground fault Monitor</t>
  </si>
  <si>
    <t>k$ loaded without contingency</t>
  </si>
  <si>
    <r>
      <t xml:space="preserve">Given below are the division of cost of labor &amp; sub-contract  </t>
    </r>
    <r>
      <rPr>
        <b/>
        <u val="single"/>
        <sz val="16"/>
        <rFont val="Times New Roman"/>
        <family val="1"/>
      </rPr>
      <t>without</t>
    </r>
    <r>
      <rPr>
        <b/>
        <sz val="16"/>
        <rFont val="Times New Roman"/>
        <family val="1"/>
      </rPr>
      <t xml:space="preserve"> contingency</t>
    </r>
  </si>
  <si>
    <t>2 Sub-contract estimates based on bids and a projected increase of costs</t>
  </si>
  <si>
    <t>3. Ground Fault Monitor included</t>
  </si>
  <si>
    <t>1. 10 circuits - PF5U &amp; PF5L also assumed to be fed separately from D-Site</t>
  </si>
  <si>
    <t>4. Cost in 06 Dollars</t>
  </si>
  <si>
    <t>SCOPE AS OUTLINED IN GRD</t>
  </si>
  <si>
    <t>5. SCHEDULE WILL AFFECT COST</t>
  </si>
  <si>
    <t>7. Analog coil protection included</t>
  </si>
  <si>
    <t>NCSX WBS 4 UPGRADE ESTIMATE (080206)</t>
  </si>
  <si>
    <t>RATES FY06</t>
  </si>
  <si>
    <t>Overtemp Protection &amp; Associated cabling</t>
  </si>
  <si>
    <t>DC Cabling to Trim Coils</t>
  </si>
  <si>
    <t>250MCM 5kV Cable For Circuit</t>
  </si>
  <si>
    <t>Install Cable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</si>
</sst>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&quot;$&quot;#,##0"/>
    <numFmt numFmtId="181" formatCode="&quot;$&quot;#,##0.00"/>
  </numFmts>
  <fonts count="8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.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i/>
      <sz val="10"/>
      <name val="Geneva"/>
      <family val="0"/>
    </font>
    <font>
      <b/>
      <sz val="10"/>
      <name val="Geneva"/>
      <family val="0"/>
    </font>
    <font>
      <strike/>
      <sz val="9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b/>
      <i/>
      <sz val="9"/>
      <color indexed="39"/>
      <name val="Geneva"/>
      <family val="0"/>
    </font>
    <font>
      <i/>
      <sz val="8"/>
      <color indexed="39"/>
      <name val="Geneva"/>
      <family val="0"/>
    </font>
    <font>
      <i/>
      <sz val="9"/>
      <color indexed="39"/>
      <name val="Geneva"/>
      <family val="0"/>
    </font>
    <font>
      <sz val="9"/>
      <color indexed="39"/>
      <name val="Geneva"/>
      <family val="0"/>
    </font>
    <font>
      <sz val="11"/>
      <color indexed="39"/>
      <name val="Geneva"/>
      <family val="0"/>
    </font>
    <font>
      <i/>
      <sz val="12"/>
      <name val="Geneva"/>
      <family val="0"/>
    </font>
    <font>
      <b/>
      <i/>
      <sz val="10"/>
      <name val="Geneva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i/>
      <sz val="11"/>
      <name val="Geneva"/>
      <family val="0"/>
    </font>
    <font>
      <b/>
      <i/>
      <sz val="11"/>
      <name val="Geneva"/>
      <family val="0"/>
    </font>
    <font>
      <b/>
      <i/>
      <sz val="12"/>
      <name val="Geneva"/>
      <family val="0"/>
    </font>
    <font>
      <sz val="12"/>
      <name val="Arial"/>
      <family val="2"/>
    </font>
    <font>
      <b/>
      <i/>
      <sz val="12"/>
      <color indexed="39"/>
      <name val="Geneva"/>
      <family val="0"/>
    </font>
    <font>
      <sz val="12"/>
      <color indexed="39"/>
      <name val="Arial"/>
      <family val="2"/>
    </font>
    <font>
      <i/>
      <sz val="12"/>
      <color indexed="10"/>
      <name val="Geneva"/>
      <family val="0"/>
    </font>
    <font>
      <sz val="12"/>
      <color indexed="10"/>
      <name val="Arial"/>
      <family val="2"/>
    </font>
    <font>
      <i/>
      <strike/>
      <sz val="12"/>
      <name val="Geneva"/>
      <family val="0"/>
    </font>
    <font>
      <strike/>
      <sz val="12"/>
      <name val="Arial"/>
      <family val="2"/>
    </font>
    <font>
      <i/>
      <sz val="12"/>
      <color indexed="39"/>
      <name val="Geneva"/>
      <family val="0"/>
    </font>
    <font>
      <sz val="12"/>
      <color indexed="10"/>
      <name val="Geneva"/>
      <family val="0"/>
    </font>
    <font>
      <sz val="12"/>
      <name val="Geneva"/>
      <family val="0"/>
    </font>
    <font>
      <sz val="14"/>
      <name val="Geneva"/>
      <family val="0"/>
    </font>
    <font>
      <i/>
      <sz val="12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Geneva"/>
      <family val="0"/>
    </font>
    <font>
      <b/>
      <sz val="11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b/>
      <i/>
      <sz val="14"/>
      <name val="Geneva"/>
      <family val="0"/>
    </font>
    <font>
      <b/>
      <i/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8"/>
      <name val="Geneva"/>
      <family val="0"/>
    </font>
    <font>
      <sz val="11"/>
      <color indexed="9"/>
      <name val="Geneva"/>
      <family val="0"/>
    </font>
    <font>
      <b/>
      <sz val="16"/>
      <name val="Geneva"/>
      <family val="0"/>
    </font>
    <font>
      <sz val="10"/>
      <color indexed="9"/>
      <name val="Geneva"/>
      <family val="0"/>
    </font>
    <font>
      <i/>
      <sz val="12"/>
      <color indexed="53"/>
      <name val="Geneva"/>
      <family val="0"/>
    </font>
    <font>
      <i/>
      <sz val="12"/>
      <color indexed="53"/>
      <name val="Arial"/>
      <family val="2"/>
    </font>
    <font>
      <i/>
      <sz val="10"/>
      <color indexed="53"/>
      <name val="Geneva"/>
      <family val="0"/>
    </font>
    <font>
      <i/>
      <sz val="10"/>
      <color indexed="53"/>
      <name val="Arial"/>
      <family val="2"/>
    </font>
    <font>
      <i/>
      <sz val="9"/>
      <color indexed="53"/>
      <name val="Geneva"/>
      <family val="0"/>
    </font>
    <font>
      <i/>
      <sz val="12"/>
      <color indexed="33"/>
      <name val="Geneva"/>
      <family val="0"/>
    </font>
    <font>
      <sz val="12"/>
      <color indexed="33"/>
      <name val="Arial"/>
      <family val="2"/>
    </font>
    <font>
      <sz val="9"/>
      <color indexed="33"/>
      <name val="Geneva"/>
      <family val="0"/>
    </font>
    <font>
      <b/>
      <u val="single"/>
      <sz val="18"/>
      <color indexed="33"/>
      <name val="Arial"/>
      <family val="2"/>
    </font>
    <font>
      <i/>
      <sz val="12"/>
      <color indexed="14"/>
      <name val="Geneva"/>
      <family val="0"/>
    </font>
    <font>
      <sz val="12"/>
      <color indexed="14"/>
      <name val="Arial"/>
      <family val="2"/>
    </font>
    <font>
      <i/>
      <sz val="9"/>
      <color indexed="14"/>
      <name val="Geneva"/>
      <family val="0"/>
    </font>
    <font>
      <sz val="9"/>
      <color indexed="14"/>
      <name val="Geneva"/>
      <family val="0"/>
    </font>
    <font>
      <i/>
      <sz val="10"/>
      <color indexed="14"/>
      <name val="Geneva"/>
      <family val="0"/>
    </font>
    <font>
      <i/>
      <sz val="10"/>
      <color indexed="14"/>
      <name val="Arial"/>
      <family val="2"/>
    </font>
    <font>
      <sz val="10"/>
      <color indexed="53"/>
      <name val="Geneva"/>
      <family val="0"/>
    </font>
    <font>
      <sz val="10"/>
      <color indexed="14"/>
      <name val="Geneva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Geneva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 wrapText="1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wrapText="1"/>
    </xf>
    <xf numFmtId="14" fontId="12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 wrapText="1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wrapText="1"/>
    </xf>
    <xf numFmtId="165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1" fontId="16" fillId="0" borderId="0" xfId="0" applyNumberFormat="1" applyFont="1" applyBorder="1" applyAlignment="1">
      <alignment wrapText="1"/>
    </xf>
    <xf numFmtId="1" fontId="16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1" fontId="16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 wrapText="1"/>
    </xf>
    <xf numFmtId="4" fontId="0" fillId="3" borderId="0" xfId="0" applyNumberFormat="1" applyFont="1" applyFill="1" applyBorder="1" applyAlignment="1">
      <alignment wrapText="1"/>
    </xf>
    <xf numFmtId="4" fontId="0" fillId="3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3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 wrapText="1"/>
    </xf>
    <xf numFmtId="1" fontId="0" fillId="4" borderId="0" xfId="0" applyNumberFormat="1" applyFont="1" applyFill="1" applyBorder="1" applyAlignment="1">
      <alignment wrapText="1"/>
    </xf>
    <xf numFmtId="165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" fontId="11" fillId="4" borderId="0" xfId="0" applyNumberFormat="1" applyFont="1" applyFill="1" applyBorder="1" applyAlignment="1">
      <alignment/>
    </xf>
    <xf numFmtId="1" fontId="10" fillId="4" borderId="0" xfId="0" applyNumberFormat="1" applyFont="1" applyFill="1" applyBorder="1" applyAlignment="1">
      <alignment/>
    </xf>
    <xf numFmtId="1" fontId="16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1" fontId="1" fillId="5" borderId="0" xfId="0" applyNumberFormat="1" applyFont="1" applyFill="1" applyAlignment="1">
      <alignment/>
    </xf>
    <xf numFmtId="0" fontId="0" fillId="6" borderId="7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14" fontId="14" fillId="0" borderId="8" xfId="0" applyNumberFormat="1" applyFont="1" applyBorder="1" applyAlignment="1">
      <alignment wrapText="1"/>
    </xf>
    <xf numFmtId="14" fontId="15" fillId="0" borderId="8" xfId="0" applyNumberFormat="1" applyFont="1" applyBorder="1" applyAlignment="1">
      <alignment wrapText="1"/>
    </xf>
    <xf numFmtId="1" fontId="13" fillId="0" borderId="8" xfId="0" applyNumberFormat="1" applyFont="1" applyBorder="1" applyAlignment="1">
      <alignment wrapText="1"/>
    </xf>
    <xf numFmtId="1" fontId="13" fillId="0" borderId="8" xfId="0" applyNumberFormat="1" applyFont="1" applyBorder="1" applyAlignment="1">
      <alignment/>
    </xf>
    <xf numFmtId="165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164" fontId="13" fillId="0" borderId="8" xfId="0" applyNumberFormat="1" applyFont="1" applyFill="1" applyBorder="1" applyAlignment="1">
      <alignment/>
    </xf>
    <xf numFmtId="0" fontId="11" fillId="0" borderId="8" xfId="0" applyFont="1" applyBorder="1" applyAlignment="1">
      <alignment wrapText="1"/>
    </xf>
    <xf numFmtId="14" fontId="11" fillId="0" borderId="8" xfId="0" applyNumberFormat="1" applyFont="1" applyBorder="1" applyAlignment="1">
      <alignment wrapText="1"/>
    </xf>
    <xf numFmtId="1" fontId="11" fillId="0" borderId="8" xfId="0" applyNumberFormat="1" applyFont="1" applyBorder="1" applyAlignment="1">
      <alignment wrapText="1"/>
    </xf>
    <xf numFmtId="1" fontId="11" fillId="0" borderId="8" xfId="0" applyNumberFormat="1" applyFont="1" applyBorder="1" applyAlignment="1">
      <alignment/>
    </xf>
    <xf numFmtId="165" fontId="11" fillId="0" borderId="8" xfId="0" applyNumberFormat="1" applyFont="1" applyBorder="1" applyAlignment="1">
      <alignment/>
    </xf>
    <xf numFmtId="1" fontId="11" fillId="4" borderId="8" xfId="0" applyNumberFormat="1" applyFont="1" applyFill="1" applyBorder="1" applyAlignment="1">
      <alignment/>
    </xf>
    <xf numFmtId="164" fontId="11" fillId="0" borderId="8" xfId="0" applyNumberFormat="1" applyFont="1" applyBorder="1" applyAlignment="1">
      <alignment/>
    </xf>
    <xf numFmtId="164" fontId="11" fillId="0" borderId="8" xfId="0" applyNumberFormat="1" applyFont="1" applyFill="1" applyBorder="1" applyAlignment="1">
      <alignment/>
    </xf>
    <xf numFmtId="0" fontId="10" fillId="0" borderId="8" xfId="0" applyFont="1" applyBorder="1" applyAlignment="1">
      <alignment wrapText="1"/>
    </xf>
    <xf numFmtId="1" fontId="10" fillId="0" borderId="8" xfId="0" applyNumberFormat="1" applyFont="1" applyBorder="1" applyAlignment="1">
      <alignment wrapText="1"/>
    </xf>
    <xf numFmtId="1" fontId="10" fillId="0" borderId="8" xfId="0" applyNumberFormat="1" applyFont="1" applyBorder="1" applyAlignment="1">
      <alignment/>
    </xf>
    <xf numFmtId="165" fontId="10" fillId="0" borderId="8" xfId="0" applyNumberFormat="1" applyFont="1" applyBorder="1" applyAlignment="1">
      <alignment/>
    </xf>
    <xf numFmtId="164" fontId="10" fillId="0" borderId="8" xfId="0" applyNumberFormat="1" applyFont="1" applyBorder="1" applyAlignment="1">
      <alignment/>
    </xf>
    <xf numFmtId="164" fontId="10" fillId="0" borderId="8" xfId="0" applyNumberFormat="1" applyFont="1" applyFill="1" applyBorder="1" applyAlignment="1">
      <alignment/>
    </xf>
    <xf numFmtId="1" fontId="0" fillId="6" borderId="7" xfId="0" applyNumberFormat="1" applyFont="1" applyFill="1" applyBorder="1" applyAlignment="1">
      <alignment wrapText="1"/>
    </xf>
    <xf numFmtId="1" fontId="0" fillId="6" borderId="7" xfId="0" applyNumberFormat="1" applyFont="1" applyFill="1" applyBorder="1" applyAlignment="1">
      <alignment/>
    </xf>
    <xf numFmtId="165" fontId="0" fillId="6" borderId="7" xfId="0" applyNumberFormat="1" applyFont="1" applyFill="1" applyBorder="1" applyAlignment="1">
      <alignment/>
    </xf>
    <xf numFmtId="1" fontId="0" fillId="4" borderId="7" xfId="0" applyNumberFormat="1" applyFont="1" applyFill="1" applyBorder="1" applyAlignment="1">
      <alignment/>
    </xf>
    <xf numFmtId="164" fontId="0" fillId="6" borderId="7" xfId="0" applyNumberFormat="1" applyFont="1" applyFill="1" applyBorder="1" applyAlignment="1">
      <alignment/>
    </xf>
    <xf numFmtId="0" fontId="16" fillId="0" borderId="8" xfId="0" applyFont="1" applyBorder="1" applyAlignment="1">
      <alignment wrapText="1"/>
    </xf>
    <xf numFmtId="1" fontId="16" fillId="0" borderId="8" xfId="0" applyNumberFormat="1" applyFont="1" applyBorder="1" applyAlignment="1">
      <alignment wrapText="1"/>
    </xf>
    <xf numFmtId="1" fontId="16" fillId="0" borderId="8" xfId="0" applyNumberFormat="1" applyFont="1" applyBorder="1" applyAlignment="1">
      <alignment/>
    </xf>
    <xf numFmtId="165" fontId="16" fillId="0" borderId="8" xfId="0" applyNumberFormat="1" applyFont="1" applyBorder="1" applyAlignment="1">
      <alignment/>
    </xf>
    <xf numFmtId="164" fontId="16" fillId="0" borderId="8" xfId="0" applyNumberFormat="1" applyFont="1" applyBorder="1" applyAlignment="1">
      <alignment/>
    </xf>
    <xf numFmtId="164" fontId="16" fillId="0" borderId="8" xfId="0" applyNumberFormat="1" applyFont="1" applyFill="1" applyBorder="1" applyAlignment="1">
      <alignment/>
    </xf>
    <xf numFmtId="0" fontId="0" fillId="0" borderId="8" xfId="0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1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" fontId="0" fillId="4" borderId="8" xfId="0" applyNumberFormat="1" applyFont="1" applyFill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14" fontId="0" fillId="0" borderId="8" xfId="0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wrapText="1"/>
    </xf>
    <xf numFmtId="165" fontId="0" fillId="0" borderId="8" xfId="0" applyNumberFormat="1" applyFont="1" applyFill="1" applyBorder="1" applyAlignment="1">
      <alignment/>
    </xf>
    <xf numFmtId="14" fontId="0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2" fontId="0" fillId="0" borderId="8" xfId="0" applyNumberFormat="1" applyFont="1" applyFill="1" applyBorder="1" applyAlignment="1">
      <alignment wrapText="1"/>
    </xf>
    <xf numFmtId="1" fontId="0" fillId="0" borderId="8" xfId="0" applyNumberFormat="1" applyFont="1" applyBorder="1" applyAlignment="1">
      <alignment/>
    </xf>
    <xf numFmtId="2" fontId="0" fillId="6" borderId="7" xfId="0" applyNumberFormat="1" applyFont="1" applyFill="1" applyBorder="1" applyAlignment="1">
      <alignment wrapText="1"/>
    </xf>
    <xf numFmtId="0" fontId="11" fillId="6" borderId="7" xfId="0" applyFont="1" applyFill="1" applyBorder="1" applyAlignment="1">
      <alignment wrapText="1"/>
    </xf>
    <xf numFmtId="1" fontId="11" fillId="6" borderId="7" xfId="0" applyNumberFormat="1" applyFont="1" applyFill="1" applyBorder="1" applyAlignment="1">
      <alignment wrapText="1"/>
    </xf>
    <xf numFmtId="0" fontId="11" fillId="4" borderId="7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4" fontId="2" fillId="3" borderId="10" xfId="0" applyNumberFormat="1" applyFont="1" applyFill="1" applyBorder="1" applyAlignment="1">
      <alignment wrapText="1"/>
    </xf>
    <xf numFmtId="4" fontId="0" fillId="3" borderId="11" xfId="0" applyNumberFormat="1" applyFont="1" applyFill="1" applyBorder="1" applyAlignment="1">
      <alignment wrapText="1"/>
    </xf>
    <xf numFmtId="4" fontId="0" fillId="3" borderId="12" xfId="0" applyNumberFormat="1" applyFont="1" applyFill="1" applyBorder="1" applyAlignment="1">
      <alignment/>
    </xf>
    <xf numFmtId="4" fontId="13" fillId="3" borderId="13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14" fontId="11" fillId="0" borderId="14" xfId="0" applyNumberFormat="1" applyFont="1" applyBorder="1" applyAlignment="1">
      <alignment wrapText="1"/>
    </xf>
    <xf numFmtId="1" fontId="11" fillId="0" borderId="14" xfId="0" applyNumberFormat="1" applyFont="1" applyBorder="1" applyAlignment="1">
      <alignment wrapText="1"/>
    </xf>
    <xf numFmtId="1" fontId="11" fillId="0" borderId="14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4" xfId="0" applyNumberFormat="1" applyFont="1" applyFill="1" applyBorder="1" applyAlignment="1">
      <alignment/>
    </xf>
    <xf numFmtId="4" fontId="11" fillId="3" borderId="15" xfId="0" applyNumberFormat="1" applyFont="1" applyFill="1" applyBorder="1" applyAlignment="1">
      <alignment/>
    </xf>
    <xf numFmtId="4" fontId="0" fillId="3" borderId="11" xfId="0" applyNumberFormat="1" applyFont="1" applyFill="1" applyBorder="1" applyAlignment="1">
      <alignment/>
    </xf>
    <xf numFmtId="4" fontId="17" fillId="3" borderId="13" xfId="0" applyNumberFormat="1" applyFont="1" applyFill="1" applyBorder="1" applyAlignment="1">
      <alignment/>
    </xf>
    <xf numFmtId="4" fontId="11" fillId="3" borderId="12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0" fontId="10" fillId="0" borderId="14" xfId="0" applyFont="1" applyBorder="1" applyAlignment="1">
      <alignment wrapText="1"/>
    </xf>
    <xf numFmtId="1" fontId="10" fillId="0" borderId="14" xfId="0" applyNumberFormat="1" applyFont="1" applyBorder="1" applyAlignment="1">
      <alignment wrapText="1"/>
    </xf>
    <xf numFmtId="1" fontId="10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14" xfId="0" applyNumberFormat="1" applyFont="1" applyFill="1" applyBorder="1" applyAlignment="1">
      <alignment/>
    </xf>
    <xf numFmtId="4" fontId="16" fillId="3" borderId="12" xfId="0" applyNumberFormat="1" applyFont="1" applyFill="1" applyBorder="1" applyAlignment="1">
      <alignment/>
    </xf>
    <xf numFmtId="4" fontId="11" fillId="3" borderId="11" xfId="0" applyNumberFormat="1" applyFont="1" applyFill="1" applyBorder="1" applyAlignment="1">
      <alignment wrapText="1"/>
    </xf>
    <xf numFmtId="4" fontId="11" fillId="3" borderId="13" xfId="0" applyNumberFormat="1" applyFont="1" applyFill="1" applyBorder="1" applyAlignment="1">
      <alignment/>
    </xf>
    <xf numFmtId="4" fontId="10" fillId="3" borderId="12" xfId="0" applyNumberFormat="1" applyFont="1" applyFill="1" applyBorder="1" applyAlignment="1">
      <alignment/>
    </xf>
    <xf numFmtId="0" fontId="18" fillId="0" borderId="0" xfId="0" applyFont="1" applyBorder="1" applyAlignment="1">
      <alignment wrapText="1"/>
    </xf>
    <xf numFmtId="164" fontId="28" fillId="0" borderId="0" xfId="0" applyNumberFormat="1" applyFont="1" applyBorder="1" applyAlignment="1">
      <alignment wrapText="1"/>
    </xf>
    <xf numFmtId="0" fontId="27" fillId="2" borderId="16" xfId="0" applyFont="1" applyFill="1" applyBorder="1" applyAlignment="1">
      <alignment wrapText="1"/>
    </xf>
    <xf numFmtId="164" fontId="28" fillId="4" borderId="9" xfId="0" applyNumberFormat="1" applyFont="1" applyFill="1" applyBorder="1" applyAlignment="1">
      <alignment wrapText="1"/>
    </xf>
    <xf numFmtId="164" fontId="28" fillId="3" borderId="9" xfId="0" applyNumberFormat="1" applyFont="1" applyFill="1" applyBorder="1" applyAlignment="1">
      <alignment wrapText="1"/>
    </xf>
    <xf numFmtId="164" fontId="28" fillId="2" borderId="9" xfId="0" applyNumberFormat="1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164" fontId="28" fillId="6" borderId="18" xfId="0" applyNumberFormat="1" applyFont="1" applyFill="1" applyBorder="1" applyAlignment="1">
      <alignment wrapText="1"/>
    </xf>
    <xf numFmtId="164" fontId="28" fillId="4" borderId="7" xfId="0" applyNumberFormat="1" applyFont="1" applyFill="1" applyBorder="1" applyAlignment="1">
      <alignment wrapText="1"/>
    </xf>
    <xf numFmtId="164" fontId="28" fillId="3" borderId="7" xfId="0" applyNumberFormat="1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164" fontId="28" fillId="0" borderId="19" xfId="0" applyNumberFormat="1" applyFont="1" applyBorder="1" applyAlignment="1">
      <alignment wrapText="1"/>
    </xf>
    <xf numFmtId="0" fontId="29" fillId="0" borderId="17" xfId="0" applyFont="1" applyBorder="1" applyAlignment="1">
      <alignment wrapText="1"/>
    </xf>
    <xf numFmtId="164" fontId="30" fillId="0" borderId="20" xfId="0" applyNumberFormat="1" applyFont="1" applyBorder="1" applyAlignment="1">
      <alignment wrapText="1"/>
    </xf>
    <xf numFmtId="164" fontId="30" fillId="0" borderId="8" xfId="0" applyNumberFormat="1" applyFont="1" applyBorder="1" applyAlignment="1">
      <alignment wrapText="1"/>
    </xf>
    <xf numFmtId="0" fontId="31" fillId="0" borderId="21" xfId="0" applyFont="1" applyBorder="1" applyAlignment="1">
      <alignment wrapText="1"/>
    </xf>
    <xf numFmtId="164" fontId="32" fillId="0" borderId="22" xfId="0" applyNumberFormat="1" applyFont="1" applyBorder="1" applyAlignment="1">
      <alignment wrapText="1"/>
    </xf>
    <xf numFmtId="164" fontId="32" fillId="0" borderId="14" xfId="0" applyNumberFormat="1" applyFont="1" applyBorder="1" applyAlignment="1">
      <alignment wrapText="1"/>
    </xf>
    <xf numFmtId="0" fontId="33" fillId="0" borderId="17" xfId="0" applyFont="1" applyBorder="1" applyAlignment="1">
      <alignment wrapText="1"/>
    </xf>
    <xf numFmtId="164" fontId="34" fillId="0" borderId="20" xfId="0" applyNumberFormat="1" applyFont="1" applyBorder="1" applyAlignment="1">
      <alignment wrapText="1"/>
    </xf>
    <xf numFmtId="164" fontId="34" fillId="0" borderId="8" xfId="0" applyNumberFormat="1" applyFont="1" applyBorder="1" applyAlignment="1">
      <alignment wrapText="1"/>
    </xf>
    <xf numFmtId="0" fontId="35" fillId="0" borderId="17" xfId="0" applyFont="1" applyBorder="1" applyAlignment="1">
      <alignment wrapText="1"/>
    </xf>
    <xf numFmtId="164" fontId="30" fillId="0" borderId="19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wrapText="1"/>
    </xf>
    <xf numFmtId="0" fontId="31" fillId="0" borderId="17" xfId="0" applyFont="1" applyFill="1" applyBorder="1" applyAlignment="1">
      <alignment wrapText="1"/>
    </xf>
    <xf numFmtId="164" fontId="32" fillId="0" borderId="19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32" fillId="0" borderId="19" xfId="0" applyNumberFormat="1" applyFont="1" applyBorder="1" applyAlignment="1">
      <alignment wrapText="1"/>
    </xf>
    <xf numFmtId="164" fontId="32" fillId="0" borderId="0" xfId="0" applyNumberFormat="1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0" fontId="18" fillId="0" borderId="21" xfId="0" applyFont="1" applyBorder="1" applyAlignment="1">
      <alignment wrapText="1"/>
    </xf>
    <xf numFmtId="164" fontId="28" fillId="0" borderId="22" xfId="0" applyNumberFormat="1" applyFont="1" applyBorder="1" applyAlignment="1">
      <alignment wrapText="1"/>
    </xf>
    <xf numFmtId="164" fontId="28" fillId="0" borderId="14" xfId="0" applyNumberFormat="1" applyFont="1" applyBorder="1" applyAlignment="1">
      <alignment wrapText="1"/>
    </xf>
    <xf numFmtId="164" fontId="28" fillId="0" borderId="20" xfId="0" applyNumberFormat="1" applyFont="1" applyBorder="1" applyAlignment="1">
      <alignment wrapText="1"/>
    </xf>
    <xf numFmtId="164" fontId="28" fillId="0" borderId="8" xfId="0" applyNumberFormat="1" applyFont="1" applyBorder="1" applyAlignment="1">
      <alignment wrapText="1"/>
    </xf>
    <xf numFmtId="164" fontId="28" fillId="0" borderId="20" xfId="0" applyNumberFormat="1" applyFont="1" applyFill="1" applyBorder="1" applyAlignment="1">
      <alignment wrapText="1"/>
    </xf>
    <xf numFmtId="164" fontId="28" fillId="0" borderId="8" xfId="0" applyNumberFormat="1" applyFont="1" applyFill="1" applyBorder="1" applyAlignment="1">
      <alignment wrapText="1"/>
    </xf>
    <xf numFmtId="0" fontId="33" fillId="0" borderId="21" xfId="0" applyFont="1" applyBorder="1" applyAlignment="1">
      <alignment wrapText="1"/>
    </xf>
    <xf numFmtId="164" fontId="34" fillId="0" borderId="22" xfId="0" applyNumberFormat="1" applyFont="1" applyBorder="1" applyAlignment="1">
      <alignment wrapText="1"/>
    </xf>
    <xf numFmtId="164" fontId="34" fillId="0" borderId="14" xfId="0" applyNumberFormat="1" applyFont="1" applyBorder="1" applyAlignment="1">
      <alignment wrapText="1"/>
    </xf>
    <xf numFmtId="164" fontId="30" fillId="0" borderId="0" xfId="0" applyNumberFormat="1" applyFont="1" applyFill="1" applyBorder="1" applyAlignment="1">
      <alignment wrapText="1"/>
    </xf>
    <xf numFmtId="164" fontId="28" fillId="0" borderId="0" xfId="0" applyNumberFormat="1" applyFont="1" applyBorder="1" applyAlignment="1">
      <alignment horizontal="left" wrapText="1"/>
    </xf>
    <xf numFmtId="164" fontId="28" fillId="0" borderId="8" xfId="0" applyNumberFormat="1" applyFont="1" applyBorder="1" applyAlignment="1">
      <alignment horizontal="left" wrapText="1"/>
    </xf>
    <xf numFmtId="0" fontId="36" fillId="0" borderId="17" xfId="0" applyFont="1" applyBorder="1" applyAlignment="1">
      <alignment wrapText="1"/>
    </xf>
    <xf numFmtId="164" fontId="32" fillId="6" borderId="18" xfId="0" applyNumberFormat="1" applyFont="1" applyFill="1" applyBorder="1" applyAlignment="1">
      <alignment wrapText="1"/>
    </xf>
    <xf numFmtId="164" fontId="32" fillId="0" borderId="20" xfId="0" applyNumberFormat="1" applyFont="1" applyBorder="1" applyAlignment="1">
      <alignment wrapText="1"/>
    </xf>
    <xf numFmtId="164" fontId="32" fillId="0" borderId="8" xfId="0" applyNumberFormat="1" applyFont="1" applyBorder="1" applyAlignment="1">
      <alignment wrapText="1"/>
    </xf>
    <xf numFmtId="164" fontId="28" fillId="0" borderId="19" xfId="0" applyNumberFormat="1" applyFont="1" applyFill="1" applyBorder="1" applyAlignment="1">
      <alignment wrapText="1"/>
    </xf>
    <xf numFmtId="164" fontId="28" fillId="0" borderId="0" xfId="0" applyNumberFormat="1" applyFont="1" applyFill="1" applyBorder="1" applyAlignment="1">
      <alignment wrapText="1"/>
    </xf>
    <xf numFmtId="0" fontId="27" fillId="5" borderId="0" xfId="0" applyFont="1" applyFill="1" applyBorder="1" applyAlignment="1">
      <alignment wrapText="1"/>
    </xf>
    <xf numFmtId="165" fontId="21" fillId="0" borderId="0" xfId="0" applyNumberFormat="1" applyFont="1" applyAlignment="1">
      <alignment/>
    </xf>
    <xf numFmtId="0" fontId="24" fillId="0" borderId="0" xfId="0" applyFont="1" applyFill="1" applyAlignment="1">
      <alignment horizontal="left" vertical="top"/>
    </xf>
    <xf numFmtId="0" fontId="0" fillId="0" borderId="0" xfId="0" applyFill="1" applyAlignment="1">
      <alignment horizontal="centerContinuous" vertical="top"/>
    </xf>
    <xf numFmtId="0" fontId="37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179" fontId="2" fillId="0" borderId="0" xfId="15" applyNumberFormat="1" applyFont="1" applyFill="1" applyAlignment="1">
      <alignment horizontal="centerContinuous" vertical="top"/>
    </xf>
    <xf numFmtId="180" fontId="38" fillId="0" borderId="0" xfId="0" applyNumberFormat="1" applyFont="1" applyFill="1" applyAlignment="1">
      <alignment horizontal="centerContinuous" vertical="top"/>
    </xf>
    <xf numFmtId="181" fontId="0" fillId="0" borderId="0" xfId="0" applyNumberFormat="1" applyFill="1" applyAlignment="1">
      <alignment horizontal="centerContinuous" vertical="top"/>
    </xf>
    <xf numFmtId="179" fontId="0" fillId="0" borderId="0" xfId="15" applyNumberFormat="1" applyFill="1" applyAlignment="1">
      <alignment horizontal="centerContinuous" vertical="top"/>
    </xf>
    <xf numFmtId="180" fontId="37" fillId="0" borderId="0" xfId="0" applyNumberFormat="1" applyFont="1" applyFill="1" applyAlignment="1">
      <alignment horizontal="centerContinuous" vertical="top"/>
    </xf>
    <xf numFmtId="181" fontId="2" fillId="0" borderId="0" xfId="0" applyNumberFormat="1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180" fontId="0" fillId="0" borderId="0" xfId="0" applyNumberFormat="1" applyFill="1" applyBorder="1" applyAlignment="1">
      <alignment horizontal="centerContinuous" vertical="top"/>
    </xf>
    <xf numFmtId="0" fontId="0" fillId="0" borderId="0" xfId="0" applyFill="1" applyAlignment="1">
      <alignment vertical="top"/>
    </xf>
    <xf numFmtId="0" fontId="21" fillId="0" borderId="23" xfId="0" applyFont="1" applyFill="1" applyBorder="1" applyAlignment="1">
      <alignment vertical="top"/>
    </xf>
    <xf numFmtId="0" fontId="28" fillId="0" borderId="23" xfId="0" applyFont="1" applyFill="1" applyBorder="1" applyAlignment="1">
      <alignment vertical="top"/>
    </xf>
    <xf numFmtId="0" fontId="39" fillId="0" borderId="23" xfId="0" applyFont="1" applyFill="1" applyBorder="1" applyAlignment="1">
      <alignment vertical="top"/>
    </xf>
    <xf numFmtId="179" fontId="40" fillId="0" borderId="0" xfId="15" applyNumberFormat="1" applyFont="1" applyFill="1" applyBorder="1" applyAlignment="1">
      <alignment horizontal="centerContinuous" vertical="top" wrapText="1"/>
    </xf>
    <xf numFmtId="180" fontId="23" fillId="0" borderId="0" xfId="15" applyNumberFormat="1" applyFont="1" applyFill="1" applyBorder="1" applyAlignment="1">
      <alignment horizontal="centerContinuous" vertical="top" wrapText="1"/>
    </xf>
    <xf numFmtId="179" fontId="23" fillId="0" borderId="0" xfId="15" applyNumberFormat="1" applyFont="1" applyFill="1" applyBorder="1" applyAlignment="1">
      <alignment horizontal="centerContinuous" vertical="top" wrapText="1"/>
    </xf>
    <xf numFmtId="180" fontId="22" fillId="0" borderId="0" xfId="0" applyNumberFormat="1" applyFont="1" applyFill="1" applyBorder="1" applyAlignment="1">
      <alignment horizontal="centerContinuous" vertical="top" wrapText="1"/>
    </xf>
    <xf numFmtId="181" fontId="41" fillId="0" borderId="0" xfId="0" applyNumberFormat="1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43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181" fontId="37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vertical="top"/>
    </xf>
    <xf numFmtId="179" fontId="2" fillId="0" borderId="0" xfId="15" applyNumberFormat="1" applyFont="1" applyFill="1" applyBorder="1" applyAlignment="1">
      <alignment vertical="top"/>
    </xf>
    <xf numFmtId="180" fontId="38" fillId="0" borderId="0" xfId="0" applyNumberFormat="1" applyFont="1" applyFill="1" applyBorder="1" applyAlignment="1">
      <alignment vertical="top"/>
    </xf>
    <xf numFmtId="181" fontId="0" fillId="0" borderId="0" xfId="0" applyNumberFormat="1" applyFill="1" applyBorder="1" applyAlignment="1">
      <alignment vertical="top"/>
    </xf>
    <xf numFmtId="179" fontId="0" fillId="0" borderId="0" xfId="15" applyNumberFormat="1" applyFill="1" applyBorder="1" applyAlignment="1">
      <alignment vertical="top"/>
    </xf>
    <xf numFmtId="180" fontId="37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Alignment="1">
      <alignment vertical="top"/>
    </xf>
    <xf numFmtId="180" fontId="0" fillId="0" borderId="0" xfId="0" applyNumberFormat="1" applyFill="1" applyBorder="1" applyAlignment="1">
      <alignment vertical="top"/>
    </xf>
    <xf numFmtId="1" fontId="4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1" fontId="3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Alignment="1">
      <alignment horizontal="left"/>
    </xf>
    <xf numFmtId="10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wrapText="1"/>
    </xf>
    <xf numFmtId="1" fontId="44" fillId="0" borderId="18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1" fontId="45" fillId="0" borderId="24" xfId="0" applyNumberFormat="1" applyFont="1" applyBorder="1" applyAlignment="1">
      <alignment horizontal="centerContinuous" wrapText="1"/>
    </xf>
    <xf numFmtId="1" fontId="46" fillId="0" borderId="25" xfId="0" applyNumberFormat="1" applyFont="1" applyBorder="1" applyAlignment="1">
      <alignment horizontal="centerContinuous" wrapText="1"/>
    </xf>
    <xf numFmtId="1" fontId="47" fillId="0" borderId="25" xfId="0" applyNumberFormat="1" applyFont="1" applyBorder="1" applyAlignment="1">
      <alignment horizontal="centerContinuous" wrapText="1"/>
    </xf>
    <xf numFmtId="1" fontId="47" fillId="0" borderId="25" xfId="0" applyNumberFormat="1" applyFont="1" applyFill="1" applyBorder="1" applyAlignment="1">
      <alignment horizontal="centerContinuous" wrapText="1"/>
    </xf>
    <xf numFmtId="1" fontId="45" fillId="0" borderId="26" xfId="0" applyNumberFormat="1" applyFont="1" applyFill="1" applyBorder="1" applyAlignment="1">
      <alignment horizontal="centerContinuous" wrapText="1"/>
    </xf>
    <xf numFmtId="1" fontId="9" fillId="7" borderId="7" xfId="0" applyNumberFormat="1" applyFont="1" applyFill="1" applyBorder="1" applyAlignment="1">
      <alignment/>
    </xf>
    <xf numFmtId="1" fontId="45" fillId="0" borderId="24" xfId="0" applyNumberFormat="1" applyFont="1" applyFill="1" applyBorder="1" applyAlignment="1">
      <alignment horizontal="centerContinuous" wrapText="1"/>
    </xf>
    <xf numFmtId="1" fontId="46" fillId="0" borderId="25" xfId="0" applyNumberFormat="1" applyFont="1" applyFill="1" applyBorder="1" applyAlignment="1">
      <alignment horizontal="centerContinuous" wrapText="1"/>
    </xf>
    <xf numFmtId="1" fontId="45" fillId="0" borderId="0" xfId="0" applyNumberFormat="1" applyFont="1" applyFill="1" applyBorder="1" applyAlignment="1">
      <alignment horizontal="centerContinuous" wrapText="1"/>
    </xf>
    <xf numFmtId="1" fontId="45" fillId="0" borderId="27" xfId="0" applyNumberFormat="1" applyFont="1" applyFill="1" applyBorder="1" applyAlignment="1">
      <alignment horizontal="centerContinuous" wrapText="1"/>
    </xf>
    <xf numFmtId="1" fontId="9" fillId="0" borderId="0" xfId="0" applyNumberFormat="1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/>
    </xf>
    <xf numFmtId="1" fontId="44" fillId="0" borderId="28" xfId="0" applyNumberFormat="1" applyFont="1" applyBorder="1" applyAlignment="1">
      <alignment/>
    </xf>
    <xf numFmtId="1" fontId="37" fillId="0" borderId="29" xfId="0" applyNumberFormat="1" applyFont="1" applyBorder="1" applyAlignment="1">
      <alignment horizontal="left"/>
    </xf>
    <xf numFmtId="10" fontId="8" fillId="0" borderId="6" xfId="0" applyNumberFormat="1" applyFont="1" applyBorder="1" applyAlignment="1">
      <alignment horizontal="left"/>
    </xf>
    <xf numFmtId="1" fontId="8" fillId="0" borderId="6" xfId="0" applyNumberFormat="1" applyFont="1" applyFill="1" applyBorder="1" applyAlignment="1">
      <alignment horizontal="left"/>
    </xf>
    <xf numFmtId="1" fontId="45" fillId="4" borderId="6" xfId="0" applyNumberFormat="1" applyFont="1" applyFill="1" applyBorder="1" applyAlignment="1">
      <alignment/>
    </xf>
    <xf numFmtId="1" fontId="4" fillId="7" borderId="0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left"/>
    </xf>
    <xf numFmtId="1" fontId="37" fillId="0" borderId="29" xfId="0" applyNumberFormat="1" applyFont="1" applyFill="1" applyBorder="1" applyAlignment="1">
      <alignment horizontal="left"/>
    </xf>
    <xf numFmtId="1" fontId="44" fillId="0" borderId="30" xfId="0" applyNumberFormat="1" applyFont="1" applyFill="1" applyBorder="1" applyAlignment="1">
      <alignment/>
    </xf>
    <xf numFmtId="1" fontId="44" fillId="0" borderId="2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31" xfId="0" applyNumberFormat="1" applyFont="1" applyFill="1" applyBorder="1" applyAlignment="1">
      <alignment horizontal="left"/>
    </xf>
    <xf numFmtId="1" fontId="4" fillId="0" borderId="32" xfId="0" applyNumberFormat="1" applyFont="1" applyFill="1" applyBorder="1" applyAlignment="1">
      <alignment horizontal="left"/>
    </xf>
    <xf numFmtId="10" fontId="4" fillId="0" borderId="33" xfId="0" applyNumberFormat="1" applyFont="1" applyFill="1" applyBorder="1" applyAlignment="1">
      <alignment horizontal="left"/>
    </xf>
    <xf numFmtId="1" fontId="4" fillId="0" borderId="34" xfId="0" applyNumberFormat="1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 wrapText="1"/>
    </xf>
    <xf numFmtId="1" fontId="4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1" fontId="8" fillId="0" borderId="23" xfId="0" applyNumberFormat="1" applyFont="1" applyFill="1" applyBorder="1" applyAlignment="1">
      <alignment/>
    </xf>
    <xf numFmtId="1" fontId="47" fillId="4" borderId="23" xfId="0" applyNumberFormat="1" applyFont="1" applyFill="1" applyBorder="1" applyAlignment="1">
      <alignment/>
    </xf>
    <xf numFmtId="1" fontId="8" fillId="7" borderId="36" xfId="0" applyNumberFormat="1" applyFont="1" applyFill="1" applyBorder="1" applyAlignment="1">
      <alignment/>
    </xf>
    <xf numFmtId="1" fontId="48" fillId="0" borderId="37" xfId="0" applyNumberFormat="1" applyFont="1" applyFill="1" applyBorder="1" applyAlignment="1">
      <alignment horizontal="left"/>
    </xf>
    <xf numFmtId="1" fontId="18" fillId="0" borderId="38" xfId="0" applyNumberFormat="1" applyFont="1" applyFill="1" applyBorder="1" applyAlignment="1">
      <alignment horizontal="left"/>
    </xf>
    <xf numFmtId="1" fontId="8" fillId="0" borderId="23" xfId="0" applyNumberFormat="1" applyFont="1" applyFill="1" applyBorder="1" applyAlignment="1">
      <alignment horizontal="left"/>
    </xf>
    <xf numFmtId="1" fontId="47" fillId="4" borderId="39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26" fillId="0" borderId="40" xfId="0" applyNumberFormat="1" applyFont="1" applyFill="1" applyBorder="1" applyAlignment="1">
      <alignment/>
    </xf>
    <xf numFmtId="1" fontId="26" fillId="0" borderId="39" xfId="0" applyNumberFormat="1" applyFont="1" applyFill="1" applyBorder="1" applyAlignment="1">
      <alignment horizontal="left"/>
    </xf>
    <xf numFmtId="1" fontId="8" fillId="0" borderId="36" xfId="0" applyNumberFormat="1" applyFont="1" applyFill="1" applyBorder="1" applyAlignment="1">
      <alignment horizontal="left"/>
    </xf>
    <xf numFmtId="1" fontId="8" fillId="0" borderId="2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10" fontId="8" fillId="0" borderId="41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1" fontId="8" fillId="0" borderId="41" xfId="0" applyNumberFormat="1" applyFont="1" applyFill="1" applyBorder="1" applyAlignment="1">
      <alignment horizontal="left"/>
    </xf>
    <xf numFmtId="1" fontId="8" fillId="0" borderId="35" xfId="0" applyNumberFormat="1" applyFont="1" applyFill="1" applyBorder="1" applyAlignment="1">
      <alignment wrapText="1"/>
    </xf>
    <xf numFmtId="1" fontId="49" fillId="0" borderId="36" xfId="0" applyNumberFormat="1" applyFont="1" applyBorder="1" applyAlignment="1">
      <alignment/>
    </xf>
    <xf numFmtId="179" fontId="37" fillId="0" borderId="36" xfId="15" applyNumberFormat="1" applyFont="1" applyBorder="1" applyAlignment="1">
      <alignment/>
    </xf>
    <xf numFmtId="177" fontId="8" fillId="0" borderId="36" xfId="21" applyNumberFormat="1" applyFont="1" applyBorder="1" applyAlignment="1">
      <alignment/>
    </xf>
    <xf numFmtId="179" fontId="8" fillId="0" borderId="36" xfId="15" applyNumberFormat="1" applyFont="1" applyFill="1" applyBorder="1" applyAlignment="1">
      <alignment/>
    </xf>
    <xf numFmtId="179" fontId="45" fillId="4" borderId="36" xfId="15" applyNumberFormat="1" applyFont="1" applyFill="1" applyBorder="1" applyAlignment="1">
      <alignment/>
    </xf>
    <xf numFmtId="179" fontId="4" fillId="7" borderId="36" xfId="15" applyNumberFormat="1" applyFont="1" applyFill="1" applyBorder="1" applyAlignment="1">
      <alignment/>
    </xf>
    <xf numFmtId="179" fontId="49" fillId="0" borderId="28" xfId="15" applyNumberFormat="1" applyFont="1" applyFill="1" applyBorder="1" applyAlignment="1">
      <alignment horizontal="left"/>
    </xf>
    <xf numFmtId="179" fontId="37" fillId="0" borderId="41" xfId="15" applyNumberFormat="1" applyFont="1" applyFill="1" applyBorder="1" applyAlignment="1">
      <alignment horizontal="left"/>
    </xf>
    <xf numFmtId="177" fontId="8" fillId="0" borderId="36" xfId="21" applyNumberFormat="1" applyFont="1" applyFill="1" applyBorder="1" applyAlignment="1">
      <alignment horizontal="left"/>
    </xf>
    <xf numFmtId="179" fontId="8" fillId="0" borderId="36" xfId="15" applyNumberFormat="1" applyFont="1" applyFill="1" applyBorder="1" applyAlignment="1">
      <alignment horizontal="left"/>
    </xf>
    <xf numFmtId="179" fontId="45" fillId="4" borderId="42" xfId="15" applyNumberFormat="1" applyFont="1" applyFill="1" applyBorder="1" applyAlignment="1">
      <alignment/>
    </xf>
    <xf numFmtId="179" fontId="44" fillId="0" borderId="0" xfId="15" applyNumberFormat="1" applyFont="1" applyFill="1" applyBorder="1" applyAlignment="1">
      <alignment/>
    </xf>
    <xf numFmtId="179" fontId="44" fillId="0" borderId="40" xfId="15" applyNumberFormat="1" applyFont="1" applyFill="1" applyBorder="1" applyAlignment="1">
      <alignment/>
    </xf>
    <xf numFmtId="179" fontId="44" fillId="0" borderId="42" xfId="15" applyNumberFormat="1" applyFont="1" applyFill="1" applyBorder="1" applyAlignment="1">
      <alignment horizontal="left"/>
    </xf>
    <xf numFmtId="1" fontId="4" fillId="0" borderId="36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0" fontId="4" fillId="0" borderId="41" xfId="0" applyNumberFormat="1" applyFont="1" applyFill="1" applyBorder="1" applyAlignment="1">
      <alignment horizontal="left"/>
    </xf>
    <xf numFmtId="1" fontId="4" fillId="0" borderId="28" xfId="0" applyNumberFormat="1" applyFont="1" applyFill="1" applyBorder="1" applyAlignment="1">
      <alignment horizontal="left"/>
    </xf>
    <xf numFmtId="1" fontId="4" fillId="0" borderId="41" xfId="0" applyNumberFormat="1" applyFont="1" applyFill="1" applyBorder="1" applyAlignment="1">
      <alignment horizontal="left"/>
    </xf>
    <xf numFmtId="1" fontId="48" fillId="0" borderId="36" xfId="0" applyNumberFormat="1" applyFont="1" applyBorder="1" applyAlignment="1">
      <alignment/>
    </xf>
    <xf numFmtId="179" fontId="18" fillId="0" borderId="36" xfId="15" applyNumberFormat="1" applyFont="1" applyBorder="1" applyAlignment="1">
      <alignment/>
    </xf>
    <xf numFmtId="179" fontId="48" fillId="0" borderId="28" xfId="15" applyNumberFormat="1" applyFont="1" applyFill="1" applyBorder="1" applyAlignment="1">
      <alignment horizontal="left"/>
    </xf>
    <xf numFmtId="179" fontId="18" fillId="0" borderId="41" xfId="15" applyNumberFormat="1" applyFont="1" applyFill="1" applyBorder="1" applyAlignment="1">
      <alignment horizontal="left"/>
    </xf>
    <xf numFmtId="179" fontId="26" fillId="0" borderId="42" xfId="15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/>
    </xf>
    <xf numFmtId="1" fontId="4" fillId="0" borderId="23" xfId="0" applyNumberFormat="1" applyFont="1" applyBorder="1" applyAlignment="1">
      <alignment/>
    </xf>
    <xf numFmtId="1" fontId="44" fillId="0" borderId="20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49" fillId="0" borderId="8" xfId="0" applyNumberFormat="1" applyFont="1" applyBorder="1" applyAlignment="1">
      <alignment/>
    </xf>
    <xf numFmtId="179" fontId="46" fillId="0" borderId="8" xfId="15" applyNumberFormat="1" applyFont="1" applyBorder="1" applyAlignment="1">
      <alignment/>
    </xf>
    <xf numFmtId="177" fontId="25" fillId="0" borderId="8" xfId="21" applyNumberFormat="1" applyFont="1" applyBorder="1" applyAlignment="1">
      <alignment/>
    </xf>
    <xf numFmtId="179" fontId="25" fillId="0" borderId="8" xfId="15" applyNumberFormat="1" applyFont="1" applyFill="1" applyBorder="1" applyAlignment="1">
      <alignment/>
    </xf>
    <xf numFmtId="179" fontId="50" fillId="4" borderId="8" xfId="15" applyNumberFormat="1" applyFont="1" applyFill="1" applyBorder="1" applyAlignment="1">
      <alignment/>
    </xf>
    <xf numFmtId="179" fontId="43" fillId="7" borderId="8" xfId="15" applyNumberFormat="1" applyFont="1" applyFill="1" applyBorder="1" applyAlignment="1">
      <alignment/>
    </xf>
    <xf numFmtId="179" fontId="51" fillId="0" borderId="20" xfId="15" applyNumberFormat="1" applyFont="1" applyFill="1" applyBorder="1" applyAlignment="1">
      <alignment horizontal="left"/>
    </xf>
    <xf numFmtId="179" fontId="46" fillId="0" borderId="43" xfId="15" applyNumberFormat="1" applyFont="1" applyFill="1" applyBorder="1" applyAlignment="1">
      <alignment horizontal="left"/>
    </xf>
    <xf numFmtId="1" fontId="25" fillId="0" borderId="8" xfId="0" applyNumberFormat="1" applyFont="1" applyFill="1" applyBorder="1" applyAlignment="1">
      <alignment horizontal="left"/>
    </xf>
    <xf numFmtId="179" fontId="25" fillId="0" borderId="8" xfId="15" applyNumberFormat="1" applyFont="1" applyFill="1" applyBorder="1" applyAlignment="1">
      <alignment horizontal="left"/>
    </xf>
    <xf numFmtId="179" fontId="50" fillId="4" borderId="44" xfId="15" applyNumberFormat="1" applyFont="1" applyFill="1" applyBorder="1" applyAlignment="1">
      <alignment/>
    </xf>
    <xf numFmtId="179" fontId="52" fillId="0" borderId="0" xfId="15" applyNumberFormat="1" applyFont="1" applyFill="1" applyBorder="1" applyAlignment="1">
      <alignment/>
    </xf>
    <xf numFmtId="179" fontId="44" fillId="0" borderId="30" xfId="15" applyNumberFormat="1" applyFont="1" applyFill="1" applyBorder="1" applyAlignment="1">
      <alignment/>
    </xf>
    <xf numFmtId="179" fontId="52" fillId="0" borderId="44" xfId="15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 horizontal="left"/>
    </xf>
    <xf numFmtId="1" fontId="4" fillId="0" borderId="46" xfId="0" applyNumberFormat="1" applyFont="1" applyFill="1" applyBorder="1" applyAlignment="1">
      <alignment horizontal="left"/>
    </xf>
    <xf numFmtId="10" fontId="4" fillId="0" borderId="47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 horizontal="left"/>
    </xf>
    <xf numFmtId="177" fontId="8" fillId="0" borderId="0" xfId="21" applyNumberFormat="1" applyFont="1" applyAlignment="1">
      <alignment/>
    </xf>
    <xf numFmtId="1" fontId="4" fillId="7" borderId="0" xfId="0" applyNumberFormat="1" applyFont="1" applyFill="1" applyAlignment="1">
      <alignment/>
    </xf>
    <xf numFmtId="1" fontId="53" fillId="0" borderId="0" xfId="0" applyNumberFormat="1" applyFont="1" applyFill="1" applyAlignment="1">
      <alignment horizontal="left"/>
    </xf>
    <xf numFmtId="9" fontId="8" fillId="0" borderId="0" xfId="21" applyFont="1" applyAlignment="1">
      <alignment/>
    </xf>
    <xf numFmtId="1" fontId="19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" fontId="44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4" fillId="0" borderId="4" xfId="0" applyNumberFormat="1" applyFont="1" applyBorder="1" applyAlignment="1">
      <alignment/>
    </xf>
    <xf numFmtId="1" fontId="44" fillId="0" borderId="48" xfId="0" applyNumberFormat="1" applyFont="1" applyBorder="1" applyAlignment="1">
      <alignment/>
    </xf>
    <xf numFmtId="1" fontId="44" fillId="0" borderId="6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9" fillId="7" borderId="0" xfId="0" applyNumberFormat="1" applyFont="1" applyFill="1" applyBorder="1" applyAlignment="1">
      <alignment/>
    </xf>
    <xf numFmtId="1" fontId="44" fillId="0" borderId="1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179" fontId="37" fillId="0" borderId="0" xfId="15" applyNumberFormat="1" applyFont="1" applyBorder="1" applyAlignment="1">
      <alignment/>
    </xf>
    <xf numFmtId="177" fontId="8" fillId="0" borderId="0" xfId="21" applyNumberFormat="1" applyFont="1" applyBorder="1" applyAlignment="1">
      <alignment/>
    </xf>
    <xf numFmtId="179" fontId="8" fillId="0" borderId="0" xfId="15" applyNumberFormat="1" applyFont="1" applyFill="1" applyBorder="1" applyAlignment="1">
      <alignment/>
    </xf>
    <xf numFmtId="179" fontId="45" fillId="4" borderId="0" xfId="15" applyNumberFormat="1" applyFont="1" applyFill="1" applyBorder="1" applyAlignment="1">
      <alignment/>
    </xf>
    <xf numFmtId="179" fontId="4" fillId="7" borderId="0" xfId="15" applyNumberFormat="1" applyFont="1" applyFill="1" applyBorder="1" applyAlignment="1">
      <alignment/>
    </xf>
    <xf numFmtId="179" fontId="49" fillId="0" borderId="19" xfId="15" applyNumberFormat="1" applyFont="1" applyFill="1" applyBorder="1" applyAlignment="1">
      <alignment horizontal="left"/>
    </xf>
    <xf numFmtId="179" fontId="37" fillId="0" borderId="0" xfId="15" applyNumberFormat="1" applyFont="1" applyFill="1" applyBorder="1" applyAlignment="1">
      <alignment horizontal="left"/>
    </xf>
    <xf numFmtId="177" fontId="8" fillId="0" borderId="0" xfId="21" applyNumberFormat="1" applyFont="1" applyFill="1" applyBorder="1" applyAlignment="1">
      <alignment horizontal="left"/>
    </xf>
    <xf numFmtId="179" fontId="8" fillId="0" borderId="0" xfId="15" applyNumberFormat="1" applyFont="1" applyFill="1" applyBorder="1" applyAlignment="1">
      <alignment horizontal="left"/>
    </xf>
    <xf numFmtId="179" fontId="45" fillId="4" borderId="49" xfId="15" applyNumberFormat="1" applyFont="1" applyFill="1" applyBorder="1" applyAlignment="1">
      <alignment/>
    </xf>
    <xf numFmtId="179" fontId="44" fillId="0" borderId="49" xfId="15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left"/>
    </xf>
    <xf numFmtId="1" fontId="4" fillId="0" borderId="51" xfId="0" applyNumberFormat="1" applyFont="1" applyFill="1" applyBorder="1" applyAlignment="1">
      <alignment horizontal="left"/>
    </xf>
    <xf numFmtId="10" fontId="4" fillId="0" borderId="52" xfId="0" applyNumberFormat="1" applyFont="1" applyFill="1" applyBorder="1" applyAlignment="1">
      <alignment horizontal="left"/>
    </xf>
    <xf numFmtId="1" fontId="4" fillId="0" borderId="53" xfId="0" applyNumberFormat="1" applyFont="1" applyFill="1" applyBorder="1" applyAlignment="1">
      <alignment horizontal="left"/>
    </xf>
    <xf numFmtId="1" fontId="4" fillId="0" borderId="52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wrapText="1"/>
    </xf>
    <xf numFmtId="1" fontId="4" fillId="8" borderId="2" xfId="0" applyNumberFormat="1" applyFont="1" applyFill="1" applyBorder="1" applyAlignment="1">
      <alignment/>
    </xf>
    <xf numFmtId="1" fontId="4" fillId="8" borderId="34" xfId="0" applyNumberFormat="1" applyFont="1" applyFill="1" applyBorder="1" applyAlignment="1">
      <alignment horizontal="left"/>
    </xf>
    <xf numFmtId="1" fontId="4" fillId="8" borderId="33" xfId="0" applyNumberFormat="1" applyFont="1" applyFill="1" applyBorder="1" applyAlignment="1">
      <alignment horizontal="left"/>
    </xf>
    <xf numFmtId="1" fontId="4" fillId="8" borderId="31" xfId="0" applyNumberFormat="1" applyFont="1" applyFill="1" applyBorder="1" applyAlignment="1">
      <alignment horizontal="left"/>
    </xf>
    <xf numFmtId="1" fontId="4" fillId="8" borderId="32" xfId="0" applyNumberFormat="1" applyFont="1" applyFill="1" applyBorder="1" applyAlignment="1">
      <alignment horizontal="left"/>
    </xf>
    <xf numFmtId="10" fontId="4" fillId="8" borderId="33" xfId="0" applyNumberFormat="1" applyFont="1" applyFill="1" applyBorder="1" applyAlignment="1">
      <alignment horizontal="left"/>
    </xf>
    <xf numFmtId="1" fontId="4" fillId="8" borderId="35" xfId="0" applyNumberFormat="1" applyFont="1" applyFill="1" applyBorder="1" applyAlignment="1">
      <alignment wrapText="1"/>
    </xf>
    <xf numFmtId="1" fontId="8" fillId="8" borderId="2" xfId="0" applyNumberFormat="1" applyFont="1" applyFill="1" applyBorder="1" applyAlignment="1">
      <alignment/>
    </xf>
    <xf numFmtId="1" fontId="8" fillId="8" borderId="28" xfId="0" applyNumberFormat="1" applyFont="1" applyFill="1" applyBorder="1" applyAlignment="1">
      <alignment horizontal="left"/>
    </xf>
    <xf numFmtId="1" fontId="8" fillId="8" borderId="41" xfId="0" applyNumberFormat="1" applyFont="1" applyFill="1" applyBorder="1" applyAlignment="1">
      <alignment horizontal="left"/>
    </xf>
    <xf numFmtId="1" fontId="8" fillId="8" borderId="2" xfId="0" applyNumberFormat="1" applyFont="1" applyFill="1" applyBorder="1" applyAlignment="1">
      <alignment horizontal="left"/>
    </xf>
    <xf numFmtId="1" fontId="8" fillId="8" borderId="1" xfId="0" applyNumberFormat="1" applyFont="1" applyFill="1" applyBorder="1" applyAlignment="1">
      <alignment horizontal="left"/>
    </xf>
    <xf numFmtId="10" fontId="8" fillId="8" borderId="41" xfId="0" applyNumberFormat="1" applyFont="1" applyFill="1" applyBorder="1" applyAlignment="1">
      <alignment horizontal="left"/>
    </xf>
    <xf numFmtId="1" fontId="8" fillId="8" borderId="35" xfId="0" applyNumberFormat="1" applyFont="1" applyFill="1" applyBorder="1" applyAlignment="1">
      <alignment wrapText="1"/>
    </xf>
    <xf numFmtId="1" fontId="4" fillId="8" borderId="28" xfId="0" applyNumberFormat="1" applyFont="1" applyFill="1" applyBorder="1" applyAlignment="1">
      <alignment horizontal="left"/>
    </xf>
    <xf numFmtId="1" fontId="4" fillId="8" borderId="41" xfId="0" applyNumberFormat="1" applyFont="1" applyFill="1" applyBorder="1" applyAlignment="1">
      <alignment horizontal="left"/>
    </xf>
    <xf numFmtId="1" fontId="4" fillId="8" borderId="2" xfId="0" applyNumberFormat="1" applyFont="1" applyFill="1" applyBorder="1" applyAlignment="1">
      <alignment horizontal="left"/>
    </xf>
    <xf numFmtId="1" fontId="4" fillId="8" borderId="1" xfId="0" applyNumberFormat="1" applyFont="1" applyFill="1" applyBorder="1" applyAlignment="1">
      <alignment horizontal="left"/>
    </xf>
    <xf numFmtId="10" fontId="4" fillId="8" borderId="41" xfId="0" applyNumberFormat="1" applyFont="1" applyFill="1" applyBorder="1" applyAlignment="1">
      <alignment horizontal="left"/>
    </xf>
    <xf numFmtId="1" fontId="4" fillId="8" borderId="54" xfId="0" applyNumberFormat="1" applyFont="1" applyFill="1" applyBorder="1" applyAlignment="1">
      <alignment horizontal="left"/>
    </xf>
    <xf numFmtId="1" fontId="4" fillId="8" borderId="55" xfId="0" applyNumberFormat="1" applyFont="1" applyFill="1" applyBorder="1" applyAlignment="1">
      <alignment horizontal="left"/>
    </xf>
    <xf numFmtId="1" fontId="4" fillId="8" borderId="56" xfId="0" applyNumberFormat="1" applyFont="1" applyFill="1" applyBorder="1" applyAlignment="1">
      <alignment horizontal="left"/>
    </xf>
    <xf numFmtId="1" fontId="4" fillId="8" borderId="4" xfId="0" applyNumberFormat="1" applyFont="1" applyFill="1" applyBorder="1" applyAlignment="1">
      <alignment horizontal="left"/>
    </xf>
    <xf numFmtId="10" fontId="4" fillId="8" borderId="55" xfId="0" applyNumberFormat="1" applyFont="1" applyFill="1" applyBorder="1" applyAlignment="1">
      <alignment horizontal="left"/>
    </xf>
    <xf numFmtId="1" fontId="4" fillId="8" borderId="0" xfId="0" applyNumberFormat="1" applyFont="1" applyFill="1" applyAlignment="1">
      <alignment/>
    </xf>
    <xf numFmtId="1" fontId="4" fillId="8" borderId="3" xfId="0" applyNumberFormat="1" applyFont="1" applyFill="1" applyBorder="1" applyAlignment="1">
      <alignment horizontal="left"/>
    </xf>
    <xf numFmtId="1" fontId="4" fillId="8" borderId="29" xfId="0" applyNumberFormat="1" applyFont="1" applyFill="1" applyBorder="1" applyAlignment="1">
      <alignment horizontal="left"/>
    </xf>
    <xf numFmtId="1" fontId="4" fillId="8" borderId="57" xfId="0" applyNumberFormat="1" applyFont="1" applyFill="1" applyBorder="1" applyAlignment="1">
      <alignment horizontal="left"/>
    </xf>
    <xf numFmtId="1" fontId="4" fillId="8" borderId="58" xfId="0" applyNumberFormat="1" applyFont="1" applyFill="1" applyBorder="1" applyAlignment="1">
      <alignment horizontal="left"/>
    </xf>
    <xf numFmtId="10" fontId="4" fillId="8" borderId="29" xfId="0" applyNumberFormat="1" applyFont="1" applyFill="1" applyBorder="1" applyAlignment="1">
      <alignment horizontal="left"/>
    </xf>
    <xf numFmtId="1" fontId="4" fillId="8" borderId="0" xfId="0" applyNumberFormat="1" applyFont="1" applyFill="1" applyAlignment="1">
      <alignment wrapText="1"/>
    </xf>
    <xf numFmtId="1" fontId="4" fillId="8" borderId="0" xfId="0" applyNumberFormat="1" applyFont="1" applyFill="1" applyAlignment="1">
      <alignment horizontal="left"/>
    </xf>
    <xf numFmtId="10" fontId="4" fillId="8" borderId="0" xfId="0" applyNumberFormat="1" applyFont="1" applyFill="1" applyAlignment="1">
      <alignment horizontal="left"/>
    </xf>
    <xf numFmtId="0" fontId="0" fillId="8" borderId="0" xfId="0" applyFill="1" applyAlignment="1">
      <alignment horizontal="left"/>
    </xf>
    <xf numFmtId="1" fontId="4" fillId="8" borderId="1" xfId="0" applyNumberFormat="1" applyFont="1" applyFill="1" applyBorder="1" applyAlignment="1">
      <alignment/>
    </xf>
    <xf numFmtId="1" fontId="4" fillId="8" borderId="4" xfId="0" applyNumberFormat="1" applyFont="1" applyFill="1" applyBorder="1" applyAlignment="1">
      <alignment/>
    </xf>
    <xf numFmtId="1" fontId="4" fillId="8" borderId="5" xfId="0" applyNumberFormat="1" applyFont="1" applyFill="1" applyBorder="1" applyAlignment="1">
      <alignment/>
    </xf>
    <xf numFmtId="1" fontId="9" fillId="8" borderId="6" xfId="0" applyNumberFormat="1" applyFont="1" applyFill="1" applyBorder="1" applyAlignment="1">
      <alignment/>
    </xf>
    <xf numFmtId="1" fontId="8" fillId="8" borderId="1" xfId="0" applyNumberFormat="1" applyFont="1" applyFill="1" applyBorder="1" applyAlignment="1">
      <alignment/>
    </xf>
    <xf numFmtId="1" fontId="4" fillId="8" borderId="48" xfId="0" applyNumberFormat="1" applyFont="1" applyFill="1" applyBorder="1" applyAlignment="1">
      <alignment/>
    </xf>
    <xf numFmtId="1" fontId="9" fillId="8" borderId="6" xfId="0" applyNumberFormat="1" applyFont="1" applyFill="1" applyBorder="1" applyAlignment="1">
      <alignment horizontal="center"/>
    </xf>
    <xf numFmtId="164" fontId="32" fillId="4" borderId="7" xfId="0" applyNumberFormat="1" applyFont="1" applyFill="1" applyBorder="1" applyAlignment="1">
      <alignment wrapText="1"/>
    </xf>
    <xf numFmtId="164" fontId="32" fillId="3" borderId="7" xfId="0" applyNumberFormat="1" applyFont="1" applyFill="1" applyBorder="1" applyAlignment="1">
      <alignment wrapText="1"/>
    </xf>
    <xf numFmtId="0" fontId="56" fillId="0" borderId="17" xfId="0" applyFont="1" applyBorder="1" applyAlignment="1">
      <alignment wrapText="1"/>
    </xf>
    <xf numFmtId="164" fontId="57" fillId="0" borderId="19" xfId="0" applyNumberFormat="1" applyFont="1" applyBorder="1" applyAlignment="1">
      <alignment wrapText="1"/>
    </xf>
    <xf numFmtId="164" fontId="57" fillId="0" borderId="0" xfId="0" applyNumberFormat="1" applyFont="1" applyBorder="1" applyAlignment="1">
      <alignment wrapText="1"/>
    </xf>
    <xf numFmtId="0" fontId="56" fillId="0" borderId="0" xfId="0" applyFont="1" applyBorder="1" applyAlignment="1">
      <alignment wrapText="1"/>
    </xf>
    <xf numFmtId="1" fontId="56" fillId="0" borderId="0" xfId="0" applyNumberFormat="1" applyFont="1" applyBorder="1" applyAlignment="1">
      <alignment wrapText="1"/>
    </xf>
    <xf numFmtId="1" fontId="56" fillId="0" borderId="0" xfId="0" applyNumberFormat="1" applyFont="1" applyBorder="1" applyAlignment="1">
      <alignment/>
    </xf>
    <xf numFmtId="165" fontId="56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6" fillId="0" borderId="0" xfId="0" applyNumberFormat="1" applyFont="1" applyFill="1" applyBorder="1" applyAlignment="1">
      <alignment/>
    </xf>
    <xf numFmtId="4" fontId="56" fillId="3" borderId="12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0" fontId="31" fillId="0" borderId="17" xfId="0" applyFont="1" applyBorder="1" applyAlignment="1">
      <alignment wrapText="1"/>
    </xf>
    <xf numFmtId="164" fontId="0" fillId="0" borderId="8" xfId="0" applyNumberFormat="1" applyFont="1" applyBorder="1" applyAlignment="1">
      <alignment wrapText="1"/>
    </xf>
    <xf numFmtId="174" fontId="28" fillId="0" borderId="0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" fontId="0" fillId="4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4" fontId="0" fillId="3" borderId="15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9" fillId="0" borderId="17" xfId="0" applyFont="1" applyBorder="1" applyAlignment="1">
      <alignment wrapText="1"/>
    </xf>
    <xf numFmtId="164" fontId="60" fillId="6" borderId="18" xfId="0" applyNumberFormat="1" applyFont="1" applyFill="1" applyBorder="1" applyAlignment="1">
      <alignment wrapText="1"/>
    </xf>
    <xf numFmtId="0" fontId="61" fillId="6" borderId="7" xfId="0" applyFont="1" applyFill="1" applyBorder="1" applyAlignment="1">
      <alignment wrapText="1"/>
    </xf>
    <xf numFmtId="1" fontId="61" fillId="6" borderId="7" xfId="0" applyNumberFormat="1" applyFont="1" applyFill="1" applyBorder="1" applyAlignment="1">
      <alignment wrapText="1"/>
    </xf>
    <xf numFmtId="0" fontId="61" fillId="4" borderId="7" xfId="0" applyFont="1" applyFill="1" applyBorder="1" applyAlignment="1">
      <alignment wrapText="1"/>
    </xf>
    <xf numFmtId="4" fontId="61" fillId="3" borderId="11" xfId="0" applyNumberFormat="1" applyFont="1" applyFill="1" applyBorder="1" applyAlignment="1">
      <alignment wrapText="1"/>
    </xf>
    <xf numFmtId="0" fontId="61" fillId="0" borderId="0" xfId="0" applyFont="1" applyBorder="1" applyAlignment="1">
      <alignment/>
    </xf>
    <xf numFmtId="164" fontId="60" fillId="0" borderId="19" xfId="0" applyNumberFormat="1" applyFont="1" applyBorder="1" applyAlignment="1">
      <alignment wrapText="1"/>
    </xf>
    <xf numFmtId="164" fontId="60" fillId="0" borderId="0" xfId="0" applyNumberFormat="1" applyFont="1" applyBorder="1" applyAlignment="1">
      <alignment wrapText="1"/>
    </xf>
    <xf numFmtId="0" fontId="61" fillId="0" borderId="0" xfId="0" applyFont="1" applyBorder="1" applyAlignment="1">
      <alignment wrapText="1"/>
    </xf>
    <xf numFmtId="14" fontId="61" fillId="0" borderId="0" xfId="0" applyNumberFormat="1" applyFont="1" applyBorder="1" applyAlignment="1">
      <alignment wrapText="1"/>
    </xf>
    <xf numFmtId="1" fontId="61" fillId="0" borderId="0" xfId="0" applyNumberFormat="1" applyFont="1" applyBorder="1" applyAlignment="1">
      <alignment wrapText="1"/>
    </xf>
    <xf numFmtId="1" fontId="61" fillId="0" borderId="0" xfId="0" applyNumberFormat="1" applyFont="1" applyBorder="1" applyAlignment="1">
      <alignment/>
    </xf>
    <xf numFmtId="165" fontId="61" fillId="0" borderId="0" xfId="0" applyNumberFormat="1" applyFont="1" applyBorder="1" applyAlignment="1">
      <alignment/>
    </xf>
    <xf numFmtId="1" fontId="61" fillId="4" borderId="0" xfId="0" applyNumberFormat="1" applyFont="1" applyFill="1" applyBorder="1" applyAlignment="1">
      <alignment/>
    </xf>
    <xf numFmtId="164" fontId="61" fillId="0" borderId="0" xfId="0" applyNumberFormat="1" applyFont="1" applyBorder="1" applyAlignment="1">
      <alignment/>
    </xf>
    <xf numFmtId="164" fontId="61" fillId="0" borderId="0" xfId="0" applyNumberFormat="1" applyFont="1" applyFill="1" applyBorder="1" applyAlignment="1">
      <alignment/>
    </xf>
    <xf numFmtId="4" fontId="61" fillId="3" borderId="12" xfId="0" applyNumberFormat="1" applyFont="1" applyFill="1" applyBorder="1" applyAlignment="1">
      <alignment/>
    </xf>
    <xf numFmtId="164" fontId="60" fillId="0" borderId="14" xfId="0" applyNumberFormat="1" applyFont="1" applyBorder="1" applyAlignment="1">
      <alignment wrapText="1"/>
    </xf>
    <xf numFmtId="0" fontId="59" fillId="0" borderId="21" xfId="0" applyFont="1" applyBorder="1" applyAlignment="1">
      <alignment wrapText="1"/>
    </xf>
    <xf numFmtId="164" fontId="60" fillId="0" borderId="22" xfId="0" applyNumberFormat="1" applyFont="1" applyBorder="1" applyAlignment="1">
      <alignment wrapText="1"/>
    </xf>
    <xf numFmtId="0" fontId="61" fillId="0" borderId="14" xfId="0" applyFont="1" applyBorder="1" applyAlignment="1">
      <alignment wrapText="1"/>
    </xf>
    <xf numFmtId="14" fontId="61" fillId="0" borderId="14" xfId="0" applyNumberFormat="1" applyFont="1" applyBorder="1" applyAlignment="1">
      <alignment wrapText="1"/>
    </xf>
    <xf numFmtId="1" fontId="61" fillId="0" borderId="14" xfId="0" applyNumberFormat="1" applyFont="1" applyBorder="1" applyAlignment="1">
      <alignment wrapText="1"/>
    </xf>
    <xf numFmtId="1" fontId="61" fillId="0" borderId="14" xfId="0" applyNumberFormat="1" applyFont="1" applyBorder="1" applyAlignment="1">
      <alignment/>
    </xf>
    <xf numFmtId="165" fontId="61" fillId="0" borderId="14" xfId="0" applyNumberFormat="1" applyFont="1" applyBorder="1" applyAlignment="1">
      <alignment/>
    </xf>
    <xf numFmtId="1" fontId="61" fillId="4" borderId="14" xfId="0" applyNumberFormat="1" applyFont="1" applyFill="1" applyBorder="1" applyAlignment="1">
      <alignment/>
    </xf>
    <xf numFmtId="164" fontId="61" fillId="0" borderId="14" xfId="0" applyNumberFormat="1" applyFont="1" applyBorder="1" applyAlignment="1">
      <alignment/>
    </xf>
    <xf numFmtId="164" fontId="61" fillId="0" borderId="14" xfId="0" applyNumberFormat="1" applyFont="1" applyFill="1" applyBorder="1" applyAlignment="1">
      <alignment/>
    </xf>
    <xf numFmtId="4" fontId="61" fillId="3" borderId="15" xfId="0" applyNumberFormat="1" applyFont="1" applyFill="1" applyBorder="1" applyAlignment="1">
      <alignment/>
    </xf>
    <xf numFmtId="0" fontId="63" fillId="0" borderId="21" xfId="0" applyFont="1" applyBorder="1" applyAlignment="1">
      <alignment wrapText="1"/>
    </xf>
    <xf numFmtId="164" fontId="64" fillId="0" borderId="22" xfId="0" applyNumberFormat="1" applyFont="1" applyBorder="1" applyAlignment="1">
      <alignment wrapText="1"/>
    </xf>
    <xf numFmtId="164" fontId="64" fillId="0" borderId="14" xfId="0" applyNumberFormat="1" applyFont="1" applyBorder="1" applyAlignment="1">
      <alignment wrapText="1"/>
    </xf>
    <xf numFmtId="0" fontId="65" fillId="0" borderId="14" xfId="0" applyFont="1" applyBorder="1" applyAlignment="1">
      <alignment wrapText="1"/>
    </xf>
    <xf numFmtId="14" fontId="66" fillId="0" borderId="14" xfId="0" applyNumberFormat="1" applyFont="1" applyBorder="1" applyAlignment="1">
      <alignment wrapText="1"/>
    </xf>
    <xf numFmtId="1" fontId="65" fillId="0" borderId="14" xfId="0" applyNumberFormat="1" applyFont="1" applyBorder="1" applyAlignment="1">
      <alignment wrapText="1"/>
    </xf>
    <xf numFmtId="1" fontId="65" fillId="0" borderId="14" xfId="0" applyNumberFormat="1" applyFont="1" applyBorder="1" applyAlignment="1">
      <alignment/>
    </xf>
    <xf numFmtId="165" fontId="65" fillId="0" borderId="14" xfId="0" applyNumberFormat="1" applyFont="1" applyBorder="1" applyAlignment="1">
      <alignment/>
    </xf>
    <xf numFmtId="164" fontId="65" fillId="0" borderId="14" xfId="0" applyNumberFormat="1" applyFont="1" applyBorder="1" applyAlignment="1">
      <alignment/>
    </xf>
    <xf numFmtId="164" fontId="65" fillId="0" borderId="14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67" fillId="0" borderId="17" xfId="0" applyFont="1" applyBorder="1" applyAlignment="1">
      <alignment wrapText="1"/>
    </xf>
    <xf numFmtId="164" fontId="68" fillId="0" borderId="19" xfId="0" applyNumberFormat="1" applyFont="1" applyBorder="1" applyAlignment="1">
      <alignment wrapText="1"/>
    </xf>
    <xf numFmtId="164" fontId="68" fillId="0" borderId="0" xfId="0" applyNumberFormat="1" applyFont="1" applyBorder="1" applyAlignment="1">
      <alignment wrapText="1"/>
    </xf>
    <xf numFmtId="0" fontId="67" fillId="0" borderId="0" xfId="0" applyFont="1" applyBorder="1" applyAlignment="1">
      <alignment wrapText="1"/>
    </xf>
    <xf numFmtId="1" fontId="67" fillId="0" borderId="0" xfId="0" applyNumberFormat="1" applyFont="1" applyBorder="1" applyAlignment="1">
      <alignment wrapText="1"/>
    </xf>
    <xf numFmtId="1" fontId="67" fillId="0" borderId="0" xfId="0" applyNumberFormat="1" applyFont="1" applyBorder="1" applyAlignment="1">
      <alignment/>
    </xf>
    <xf numFmtId="165" fontId="67" fillId="0" borderId="0" xfId="0" applyNumberFormat="1" applyFont="1" applyBorder="1" applyAlignment="1">
      <alignment/>
    </xf>
    <xf numFmtId="164" fontId="67" fillId="0" borderId="0" xfId="0" applyNumberFormat="1" applyFont="1" applyBorder="1" applyAlignment="1">
      <alignment/>
    </xf>
    <xf numFmtId="164" fontId="67" fillId="0" borderId="0" xfId="0" applyNumberFormat="1" applyFont="1" applyFill="1" applyBorder="1" applyAlignment="1">
      <alignment/>
    </xf>
    <xf numFmtId="4" fontId="67" fillId="3" borderId="12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0" fillId="3" borderId="12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" fontId="28" fillId="0" borderId="0" xfId="0" applyNumberFormat="1" applyFont="1" applyBorder="1" applyAlignment="1">
      <alignment wrapText="1"/>
    </xf>
    <xf numFmtId="164" fontId="72" fillId="0" borderId="0" xfId="0" applyNumberFormat="1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" fontId="0" fillId="4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4" fontId="0" fillId="3" borderId="0" xfId="0" applyNumberFormat="1" applyFont="1" applyFill="1" applyBorder="1" applyAlignment="1">
      <alignment/>
    </xf>
    <xf numFmtId="164" fontId="76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164" fontId="77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164" fontId="72" fillId="0" borderId="1" xfId="0" applyNumberFormat="1" applyFont="1" applyBorder="1" applyAlignment="1">
      <alignment wrapText="1"/>
    </xf>
    <xf numFmtId="1" fontId="75" fillId="0" borderId="1" xfId="0" applyNumberFormat="1" applyFont="1" applyBorder="1" applyAlignment="1">
      <alignment horizontal="left" wrapText="1"/>
    </xf>
    <xf numFmtId="1" fontId="72" fillId="0" borderId="1" xfId="0" applyNumberFormat="1" applyFont="1" applyBorder="1" applyAlignment="1">
      <alignment wrapText="1"/>
    </xf>
    <xf numFmtId="164" fontId="72" fillId="0" borderId="59" xfId="0" applyNumberFormat="1" applyFont="1" applyBorder="1" applyAlignment="1">
      <alignment wrapText="1"/>
    </xf>
    <xf numFmtId="0" fontId="72" fillId="0" borderId="60" xfId="0" applyFont="1" applyBorder="1" applyAlignment="1">
      <alignment wrapText="1"/>
    </xf>
    <xf numFmtId="1" fontId="72" fillId="0" borderId="60" xfId="0" applyNumberFormat="1" applyFont="1" applyBorder="1" applyAlignment="1">
      <alignment wrapText="1"/>
    </xf>
    <xf numFmtId="1" fontId="73" fillId="0" borderId="60" xfId="0" applyNumberFormat="1" applyFont="1" applyBorder="1" applyAlignment="1">
      <alignment wrapText="1"/>
    </xf>
    <xf numFmtId="164" fontId="72" fillId="0" borderId="61" xfId="0" applyNumberFormat="1" applyFont="1" applyBorder="1" applyAlignment="1">
      <alignment wrapText="1"/>
    </xf>
    <xf numFmtId="1" fontId="75" fillId="0" borderId="62" xfId="0" applyNumberFormat="1" applyFont="1" applyBorder="1" applyAlignment="1">
      <alignment horizontal="left" wrapText="1"/>
    </xf>
    <xf numFmtId="1" fontId="72" fillId="0" borderId="62" xfId="0" applyNumberFormat="1" applyFont="1" applyBorder="1" applyAlignment="1">
      <alignment wrapText="1"/>
    </xf>
    <xf numFmtId="1" fontId="73" fillId="0" borderId="63" xfId="0" applyNumberFormat="1" applyFont="1" applyBorder="1" applyAlignment="1">
      <alignment wrapText="1"/>
    </xf>
    <xf numFmtId="0" fontId="18" fillId="0" borderId="64" xfId="0" applyFont="1" applyBorder="1" applyAlignment="1">
      <alignment wrapText="1"/>
    </xf>
    <xf numFmtId="164" fontId="28" fillId="0" borderId="65" xfId="0" applyNumberFormat="1" applyFont="1" applyBorder="1" applyAlignment="1">
      <alignment wrapText="1"/>
    </xf>
    <xf numFmtId="0" fontId="0" fillId="0" borderId="65" xfId="0" applyBorder="1" applyAlignment="1">
      <alignment/>
    </xf>
    <xf numFmtId="0" fontId="37" fillId="0" borderId="65" xfId="0" applyFont="1" applyBorder="1" applyAlignment="1">
      <alignment horizontal="center" wrapText="1"/>
    </xf>
    <xf numFmtId="0" fontId="37" fillId="0" borderId="66" xfId="0" applyFont="1" applyBorder="1" applyAlignment="1">
      <alignment wrapText="1"/>
    </xf>
    <xf numFmtId="0" fontId="78" fillId="5" borderId="59" xfId="0" applyFont="1" applyFill="1" applyBorder="1" applyAlignment="1">
      <alignment wrapText="1"/>
    </xf>
    <xf numFmtId="0" fontId="71" fillId="5" borderId="59" xfId="0" applyFont="1" applyFill="1" applyBorder="1" applyAlignment="1">
      <alignment wrapText="1"/>
    </xf>
    <xf numFmtId="0" fontId="71" fillId="0" borderId="59" xfId="0" applyFont="1" applyBorder="1" applyAlignment="1">
      <alignment wrapText="1"/>
    </xf>
    <xf numFmtId="0" fontId="71" fillId="0" borderId="61" xfId="0" applyFont="1" applyBorder="1" applyAlignment="1">
      <alignment wrapText="1"/>
    </xf>
    <xf numFmtId="164" fontId="72" fillId="0" borderId="62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164" fontId="74" fillId="6" borderId="62" xfId="0" applyNumberFormat="1" applyFont="1" applyFill="1" applyBorder="1" applyAlignment="1">
      <alignment wrapText="1"/>
    </xf>
    <xf numFmtId="1" fontId="80" fillId="0" borderId="1" xfId="0" applyNumberFormat="1" applyFont="1" applyBorder="1" applyAlignment="1">
      <alignment horizontal="center" wrapText="1"/>
    </xf>
    <xf numFmtId="1" fontId="80" fillId="0" borderId="60" xfId="0" applyNumberFormat="1" applyFont="1" applyBorder="1" applyAlignment="1">
      <alignment horizontal="center" wrapText="1"/>
    </xf>
    <xf numFmtId="1" fontId="76" fillId="0" borderId="1" xfId="0" applyNumberFormat="1" applyFont="1" applyBorder="1" applyAlignment="1">
      <alignment horizontal="center"/>
    </xf>
    <xf numFmtId="1" fontId="78" fillId="0" borderId="60" xfId="0" applyNumberFormat="1" applyFont="1" applyBorder="1" applyAlignment="1">
      <alignment horizontal="center"/>
    </xf>
    <xf numFmtId="1" fontId="75" fillId="0" borderId="60" xfId="0" applyNumberFormat="1" applyFont="1" applyBorder="1" applyAlignment="1">
      <alignment horizontal="left" wrapText="1"/>
    </xf>
    <xf numFmtId="1" fontId="75" fillId="0" borderId="63" xfId="0" applyNumberFormat="1" applyFont="1" applyBorder="1" applyAlignment="1">
      <alignment horizontal="left" wrapText="1"/>
    </xf>
    <xf numFmtId="1" fontId="46" fillId="0" borderId="1" xfId="0" applyNumberFormat="1" applyFont="1" applyBorder="1" applyAlignment="1">
      <alignment horizontal="left"/>
    </xf>
    <xf numFmtId="0" fontId="54" fillId="5" borderId="17" xfId="0" applyFont="1" applyFill="1" applyBorder="1" applyAlignment="1">
      <alignment wrapText="1"/>
    </xf>
    <xf numFmtId="164" fontId="55" fillId="5" borderId="19" xfId="0" applyNumberFormat="1" applyFont="1" applyFill="1" applyBorder="1" applyAlignment="1">
      <alignment wrapText="1"/>
    </xf>
    <xf numFmtId="164" fontId="55" fillId="5" borderId="0" xfId="0" applyNumberFormat="1" applyFont="1" applyFill="1" applyBorder="1" applyAlignment="1">
      <alignment wrapText="1"/>
    </xf>
    <xf numFmtId="0" fontId="58" fillId="5" borderId="0" xfId="0" applyFont="1" applyFill="1" applyBorder="1" applyAlignment="1">
      <alignment wrapText="1"/>
    </xf>
    <xf numFmtId="1" fontId="58" fillId="5" borderId="0" xfId="0" applyNumberFormat="1" applyFont="1" applyFill="1" applyBorder="1" applyAlignment="1">
      <alignment wrapText="1"/>
    </xf>
    <xf numFmtId="1" fontId="58" fillId="5" borderId="0" xfId="0" applyNumberFormat="1" applyFont="1" applyFill="1" applyBorder="1" applyAlignment="1">
      <alignment/>
    </xf>
    <xf numFmtId="165" fontId="58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164" fontId="58" fillId="5" borderId="0" xfId="0" applyNumberFormat="1" applyFont="1" applyFill="1" applyBorder="1" applyAlignment="1">
      <alignment/>
    </xf>
    <xf numFmtId="4" fontId="58" fillId="5" borderId="12" xfId="0" applyNumberFormat="1" applyFont="1" applyFill="1" applyBorder="1" applyAlignment="1">
      <alignment/>
    </xf>
    <xf numFmtId="0" fontId="58" fillId="5" borderId="0" xfId="0" applyFont="1" applyFill="1" applyBorder="1" applyAlignment="1">
      <alignment/>
    </xf>
    <xf numFmtId="14" fontId="58" fillId="5" borderId="0" xfId="0" applyNumberFormat="1" applyFont="1" applyFill="1" applyBorder="1" applyAlignment="1">
      <alignment wrapText="1"/>
    </xf>
    <xf numFmtId="4" fontId="56" fillId="5" borderId="12" xfId="0" applyNumberFormat="1" applyFont="1" applyFill="1" applyBorder="1" applyAlignment="1">
      <alignment/>
    </xf>
    <xf numFmtId="0" fontId="18" fillId="5" borderId="17" xfId="0" applyFont="1" applyFill="1" applyBorder="1" applyAlignment="1">
      <alignment wrapText="1"/>
    </xf>
    <xf numFmtId="164" fontId="28" fillId="5" borderId="19" xfId="0" applyNumberFormat="1" applyFont="1" applyFill="1" applyBorder="1" applyAlignment="1">
      <alignment wrapText="1"/>
    </xf>
    <xf numFmtId="164" fontId="28" fillId="5" borderId="0" xfId="0" applyNumberFormat="1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wrapText="1"/>
    </xf>
    <xf numFmtId="165" fontId="0" fillId="5" borderId="0" xfId="0" applyNumberFormat="1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4" fontId="0" fillId="5" borderId="12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14" fontId="0" fillId="5" borderId="0" xfId="0" applyNumberFormat="1" applyFont="1" applyFill="1" applyBorder="1" applyAlignment="1">
      <alignment wrapText="1"/>
    </xf>
    <xf numFmtId="164" fontId="39" fillId="5" borderId="19" xfId="0" applyNumberFormat="1" applyFont="1" applyFill="1" applyBorder="1" applyAlignment="1">
      <alignment wrapText="1"/>
    </xf>
    <xf numFmtId="164" fontId="39" fillId="5" borderId="0" xfId="0" applyNumberFormat="1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1" fontId="2" fillId="5" borderId="0" xfId="0" applyNumberFormat="1" applyFont="1" applyFill="1" applyBorder="1" applyAlignment="1">
      <alignment wrapText="1"/>
    </xf>
    <xf numFmtId="1" fontId="2" fillId="5" borderId="0" xfId="0" applyNumberFormat="1" applyFont="1" applyFill="1" applyBorder="1" applyAlignment="1">
      <alignment/>
    </xf>
    <xf numFmtId="165" fontId="2" fillId="5" borderId="0" xfId="0" applyNumberFormat="1" applyFont="1" applyFill="1" applyBorder="1" applyAlignment="1">
      <alignment/>
    </xf>
    <xf numFmtId="164" fontId="2" fillId="5" borderId="0" xfId="0" applyNumberFormat="1" applyFont="1" applyFill="1" applyBorder="1" applyAlignment="1">
      <alignment/>
    </xf>
    <xf numFmtId="4" fontId="2" fillId="5" borderId="12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18" fillId="5" borderId="21" xfId="0" applyFont="1" applyFill="1" applyBorder="1" applyAlignment="1">
      <alignment wrapText="1"/>
    </xf>
    <xf numFmtId="164" fontId="28" fillId="5" borderId="22" xfId="0" applyNumberFormat="1" applyFont="1" applyFill="1" applyBorder="1" applyAlignment="1">
      <alignment wrapText="1"/>
    </xf>
    <xf numFmtId="164" fontId="28" fillId="5" borderId="14" xfId="0" applyNumberFormat="1" applyFont="1" applyFill="1" applyBorder="1" applyAlignment="1">
      <alignment wrapText="1"/>
    </xf>
    <xf numFmtId="0" fontId="0" fillId="5" borderId="14" xfId="0" applyFont="1" applyFill="1" applyBorder="1" applyAlignment="1">
      <alignment wrapText="1"/>
    </xf>
    <xf numFmtId="1" fontId="0" fillId="5" borderId="14" xfId="0" applyNumberFormat="1" applyFont="1" applyFill="1" applyBorder="1" applyAlignment="1">
      <alignment wrapText="1"/>
    </xf>
    <xf numFmtId="1" fontId="0" fillId="5" borderId="14" xfId="0" applyNumberFormat="1" applyFont="1" applyFill="1" applyBorder="1" applyAlignment="1">
      <alignment/>
    </xf>
    <xf numFmtId="165" fontId="0" fillId="5" borderId="14" xfId="0" applyNumberFormat="1" applyFont="1" applyFill="1" applyBorder="1" applyAlignment="1">
      <alignment/>
    </xf>
    <xf numFmtId="164" fontId="0" fillId="5" borderId="14" xfId="0" applyNumberFormat="1" applyFont="1" applyFill="1" applyBorder="1" applyAlignment="1">
      <alignment/>
    </xf>
    <xf numFmtId="4" fontId="0" fillId="5" borderId="15" xfId="0" applyNumberFormat="1" applyFont="1" applyFill="1" applyBorder="1" applyAlignment="1">
      <alignment/>
    </xf>
    <xf numFmtId="164" fontId="55" fillId="5" borderId="20" xfId="0" applyNumberFormat="1" applyFont="1" applyFill="1" applyBorder="1" applyAlignment="1">
      <alignment wrapText="1"/>
    </xf>
    <xf numFmtId="164" fontId="55" fillId="5" borderId="8" xfId="0" applyNumberFormat="1" applyFont="1" applyFill="1" applyBorder="1" applyAlignment="1">
      <alignment wrapText="1"/>
    </xf>
    <xf numFmtId="0" fontId="58" fillId="5" borderId="8" xfId="0" applyFont="1" applyFill="1" applyBorder="1" applyAlignment="1">
      <alignment wrapText="1"/>
    </xf>
    <xf numFmtId="14" fontId="58" fillId="5" borderId="8" xfId="0" applyNumberFormat="1" applyFont="1" applyFill="1" applyBorder="1" applyAlignment="1">
      <alignment wrapText="1"/>
    </xf>
    <xf numFmtId="1" fontId="58" fillId="5" borderId="8" xfId="0" applyNumberFormat="1" applyFont="1" applyFill="1" applyBorder="1" applyAlignment="1">
      <alignment wrapText="1"/>
    </xf>
    <xf numFmtId="1" fontId="58" fillId="5" borderId="8" xfId="0" applyNumberFormat="1" applyFont="1" applyFill="1" applyBorder="1" applyAlignment="1">
      <alignment/>
    </xf>
    <xf numFmtId="165" fontId="58" fillId="5" borderId="8" xfId="0" applyNumberFormat="1" applyFont="1" applyFill="1" applyBorder="1" applyAlignment="1">
      <alignment/>
    </xf>
    <xf numFmtId="164" fontId="58" fillId="5" borderId="8" xfId="0" applyNumberFormat="1" applyFont="1" applyFill="1" applyBorder="1" applyAlignment="1">
      <alignment/>
    </xf>
    <xf numFmtId="4" fontId="58" fillId="5" borderId="13" xfId="0" applyNumberFormat="1" applyFont="1" applyFill="1" applyBorder="1" applyAlignment="1">
      <alignment/>
    </xf>
    <xf numFmtId="164" fontId="28" fillId="5" borderId="18" xfId="0" applyNumberFormat="1" applyFont="1" applyFill="1" applyBorder="1" applyAlignment="1">
      <alignment wrapText="1"/>
    </xf>
    <xf numFmtId="164" fontId="28" fillId="5" borderId="7" xfId="0" applyNumberFormat="1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1" fontId="0" fillId="5" borderId="7" xfId="0" applyNumberFormat="1" applyFont="1" applyFill="1" applyBorder="1" applyAlignment="1">
      <alignment wrapText="1"/>
    </xf>
    <xf numFmtId="1" fontId="0" fillId="5" borderId="7" xfId="0" applyNumberFormat="1" applyFont="1" applyFill="1" applyBorder="1" applyAlignment="1">
      <alignment/>
    </xf>
    <xf numFmtId="4" fontId="0" fillId="5" borderId="11" xfId="0" applyNumberFormat="1" applyFont="1" applyFill="1" applyBorder="1" applyAlignment="1">
      <alignment wrapText="1"/>
    </xf>
    <xf numFmtId="0" fontId="37" fillId="0" borderId="0" xfId="0" applyFont="1" applyBorder="1" applyAlignment="1">
      <alignment horizontal="center" wrapText="1"/>
    </xf>
    <xf numFmtId="164" fontId="6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" fontId="3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2" fillId="0" borderId="0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164" fontId="78" fillId="0" borderId="67" xfId="0" applyNumberFormat="1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'[1]Summary'!$A$26:$A$30</c:f>
              <c:strCache>
                <c:ptCount val="5"/>
                <c:pt idx="0">
                  <c:v>41- AC Power</c:v>
                </c:pt>
                <c:pt idx="1">
                  <c:v>42 - AC/DC Converters</c:v>
                </c:pt>
                <c:pt idx="2">
                  <c:v>43 - DC Systems</c:v>
                </c:pt>
                <c:pt idx="3">
                  <c:v>44 - Control &amp; Protection Systems</c:v>
                </c:pt>
                <c:pt idx="4">
                  <c:v>45 - System Design and Integration</c:v>
                </c:pt>
              </c:strCache>
            </c:strRef>
          </c:cat>
          <c:val>
            <c:numRef>
              <c:f>'[1]Summary'!$B$26:$B$30</c:f>
              <c:numCache>
                <c:ptCount val="5"/>
                <c:pt idx="0">
                  <c:v>699.6168190861471</c:v>
                </c:pt>
                <c:pt idx="1">
                  <c:v>30.841353624799996</c:v>
                </c:pt>
                <c:pt idx="2">
                  <c:v>3732.858876871209</c:v>
                </c:pt>
                <c:pt idx="3">
                  <c:v>1860.1072301245536</c:v>
                </c:pt>
                <c:pt idx="4">
                  <c:v>1218.8036072484701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'.'!$A$26:$A$30</c:f>
              <c:strCache/>
            </c:strRef>
          </c:cat>
          <c:val>
            <c:numRef>
              <c:f>'.'!$B$26:$B$30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51</xdr:row>
      <xdr:rowOff>0</xdr:rowOff>
    </xdr:from>
    <xdr:to>
      <xdr:col>23</xdr:col>
      <xdr:colOff>171450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7191375" y="12344400"/>
        <a:ext cx="4819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52</xdr:row>
      <xdr:rowOff>76200</xdr:rowOff>
    </xdr:from>
    <xdr:to>
      <xdr:col>11</xdr:col>
      <xdr:colOff>28575</xdr:colOff>
      <xdr:row>75</xdr:row>
      <xdr:rowOff>57150</xdr:rowOff>
    </xdr:to>
    <xdr:graphicFrame>
      <xdr:nvGraphicFramePr>
        <xdr:cNvPr id="1" name="Chart 2"/>
        <xdr:cNvGraphicFramePr/>
      </xdr:nvGraphicFramePr>
      <xdr:xfrm>
        <a:off x="4933950" y="10315575"/>
        <a:ext cx="6705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CSXserv\Cost%20Estimate\Cost%20Estimate\CER%20WBS%204%2006160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CDR reconciliation"/>
    </sheetNames>
    <sheetDataSet>
      <sheetData sheetId="0">
        <row r="4">
          <cell r="B4">
            <v>592.89560939504</v>
          </cell>
          <cell r="C4">
            <v>699.6168190861471</v>
          </cell>
        </row>
        <row r="5">
          <cell r="D5">
            <v>570.8273190877951</v>
          </cell>
        </row>
        <row r="16">
          <cell r="D16">
            <v>128.78949999835197</v>
          </cell>
        </row>
        <row r="18">
          <cell r="B18">
            <v>26.136740359999997</v>
          </cell>
          <cell r="C18">
            <v>30.841353624799996</v>
          </cell>
        </row>
        <row r="19">
          <cell r="D19">
            <v>0</v>
          </cell>
        </row>
        <row r="21">
          <cell r="D21">
            <v>30.841353624799996</v>
          </cell>
        </row>
        <row r="23">
          <cell r="B23">
            <v>3119.71091260272</v>
          </cell>
          <cell r="C23">
            <v>3732.858876871209</v>
          </cell>
        </row>
        <row r="24">
          <cell r="D24">
            <v>456.38519027464315</v>
          </cell>
        </row>
        <row r="40">
          <cell r="D40">
            <v>1916.3804689334336</v>
          </cell>
        </row>
        <row r="47">
          <cell r="D47">
            <v>1360.0932176631325</v>
          </cell>
        </row>
        <row r="73">
          <cell r="B73">
            <v>1565.4259293092798</v>
          </cell>
          <cell r="C73">
            <v>1860.1072301245536</v>
          </cell>
        </row>
        <row r="74">
          <cell r="D74">
            <v>679.1533811889664</v>
          </cell>
        </row>
        <row r="89">
          <cell r="D89">
            <v>110.68579482191359</v>
          </cell>
        </row>
        <row r="91">
          <cell r="D91">
            <v>44.017626691296</v>
          </cell>
        </row>
        <row r="93">
          <cell r="D93">
            <v>672.4143966149022</v>
          </cell>
        </row>
        <row r="98">
          <cell r="D98">
            <v>353.83603080747514</v>
          </cell>
        </row>
        <row r="103">
          <cell r="B103">
            <v>998.2615762711999</v>
          </cell>
          <cell r="C103">
            <v>1218.8036072484701</v>
          </cell>
        </row>
        <row r="104">
          <cell r="D104">
            <v>456.31833407196456</v>
          </cell>
        </row>
        <row r="115">
          <cell r="D115">
            <v>574.000563278016</v>
          </cell>
        </row>
        <row r="118">
          <cell r="D118">
            <v>188.4847098984896</v>
          </cell>
        </row>
        <row r="131">
          <cell r="B131" t="str">
            <v> </v>
          </cell>
        </row>
      </sheetData>
      <sheetData sheetId="1">
        <row r="26">
          <cell r="A26" t="str">
            <v>41- AC Power</v>
          </cell>
          <cell r="B26">
            <v>699.6168190861471</v>
          </cell>
        </row>
        <row r="27">
          <cell r="A27" t="str">
            <v>42 - AC/DC Converters</v>
          </cell>
          <cell r="B27">
            <v>30.841353624799996</v>
          </cell>
        </row>
        <row r="28">
          <cell r="A28" t="str">
            <v>43 - DC Systems</v>
          </cell>
          <cell r="B28">
            <v>3732.858876871209</v>
          </cell>
        </row>
        <row r="29">
          <cell r="A29" t="str">
            <v>44 - Control &amp; Protection Systems</v>
          </cell>
          <cell r="B29">
            <v>1860.1072301245536</v>
          </cell>
        </row>
        <row r="30">
          <cell r="A30" t="str">
            <v>45 - System Design and Integration</v>
          </cell>
          <cell r="B30">
            <v>1218.8036072484701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84"/>
  <sheetViews>
    <sheetView tabSelected="1" zoomScale="70" zoomScaleNormal="70" workbookViewId="0" topLeftCell="A1">
      <pane ySplit="1305" topLeftCell="BM67" activePane="bottomLeft" state="split"/>
      <selection pane="topLeft" activeCell="R1" sqref="R1"/>
      <selection pane="bottomLeft" activeCell="C104" sqref="C104"/>
    </sheetView>
  </sheetViews>
  <sheetFormatPr defaultColWidth="9.00390625" defaultRowHeight="12"/>
  <cols>
    <col min="1" max="1" width="22.875" style="163" customWidth="1"/>
    <col min="2" max="2" width="23.625" style="164" customWidth="1"/>
    <col min="3" max="3" width="21.125" style="164" customWidth="1"/>
    <col min="4" max="4" width="24.25390625" style="164" customWidth="1"/>
    <col min="5" max="5" width="14.25390625" style="1" customWidth="1"/>
    <col min="6" max="6" width="19.375" style="1" customWidth="1"/>
    <col min="7" max="7" width="10.75390625" style="1" bestFit="1" customWidth="1"/>
    <col min="8" max="8" width="11.375" style="1" bestFit="1" customWidth="1"/>
    <col min="9" max="9" width="4.625" style="1" customWidth="1"/>
    <col min="10" max="10" width="5.375" style="1" customWidth="1"/>
    <col min="11" max="11" width="7.125" style="1" customWidth="1"/>
    <col min="12" max="12" width="5.625" style="1" customWidth="1"/>
    <col min="13" max="13" width="6.375" style="1" customWidth="1"/>
    <col min="14" max="14" width="8.25390625" style="3" customWidth="1"/>
    <col min="15" max="15" width="6.625" style="8" customWidth="1"/>
    <col min="16" max="16" width="7.875" style="2" customWidth="1"/>
    <col min="17" max="17" width="8.25390625" style="2" customWidth="1"/>
    <col min="18" max="18" width="7.00390625" style="2" customWidth="1"/>
    <col min="19" max="19" width="6.875" style="2" customWidth="1"/>
    <col min="20" max="20" width="6.625" style="3" bestFit="1" customWidth="1"/>
    <col min="21" max="21" width="6.75390625" style="3" customWidth="1"/>
    <col min="22" max="22" width="5.875" style="3" customWidth="1"/>
    <col min="23" max="23" width="6.125" style="3" customWidth="1"/>
    <col min="24" max="24" width="6.25390625" style="3" customWidth="1"/>
    <col min="25" max="25" width="6.375" style="3" customWidth="1"/>
    <col min="26" max="26" width="5.875" style="3" customWidth="1"/>
    <col min="27" max="27" width="6.125" style="3" customWidth="1"/>
    <col min="28" max="28" width="5.625" style="3" customWidth="1"/>
    <col min="29" max="29" width="9.375" style="74" customWidth="1"/>
    <col min="30" max="30" width="6.125" style="3" customWidth="1"/>
    <col min="31" max="31" width="6.625" style="18" customWidth="1"/>
    <col min="32" max="32" width="8.125" style="3" bestFit="1" customWidth="1"/>
    <col min="33" max="33" width="6.375" style="3" customWidth="1"/>
    <col min="34" max="34" width="10.75390625" style="68" customWidth="1"/>
    <col min="35" max="16384" width="11.375" style="4" customWidth="1"/>
  </cols>
  <sheetData>
    <row r="1" spans="1:34" ht="41.25" customHeight="1">
      <c r="A1" s="638" t="s">
        <v>261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13" t="s">
        <v>126</v>
      </c>
      <c r="O1" s="14"/>
      <c r="P1" s="15"/>
      <c r="Q1" s="15"/>
      <c r="R1" s="15"/>
      <c r="S1" s="15"/>
      <c r="T1" s="14" t="s">
        <v>87</v>
      </c>
      <c r="U1" s="14"/>
      <c r="V1" s="13" t="s">
        <v>124</v>
      </c>
      <c r="W1" s="13"/>
      <c r="X1" s="13"/>
      <c r="Y1" s="13"/>
      <c r="Z1" s="13" t="s">
        <v>125</v>
      </c>
      <c r="AA1" s="13"/>
      <c r="AB1" s="13"/>
      <c r="AC1" s="71" t="s">
        <v>73</v>
      </c>
      <c r="AD1" s="16" t="s">
        <v>86</v>
      </c>
      <c r="AE1" s="16"/>
      <c r="AF1" s="16"/>
      <c r="AG1" s="17"/>
      <c r="AH1" s="66" t="s">
        <v>84</v>
      </c>
    </row>
    <row r="2" spans="1:34" s="1" customFormat="1" ht="24">
      <c r="A2" s="163"/>
      <c r="B2" s="164"/>
      <c r="C2" s="164"/>
      <c r="D2" s="164"/>
      <c r="G2" s="1" t="s">
        <v>166</v>
      </c>
      <c r="H2" s="1" t="s">
        <v>167</v>
      </c>
      <c r="I2" s="1" t="s">
        <v>114</v>
      </c>
      <c r="J2" s="1" t="s">
        <v>13</v>
      </c>
      <c r="K2" s="1" t="s">
        <v>131</v>
      </c>
      <c r="L2" s="1" t="s">
        <v>13</v>
      </c>
      <c r="M2" s="1" t="s">
        <v>131</v>
      </c>
      <c r="N2" s="1" t="s">
        <v>13</v>
      </c>
      <c r="O2" s="1" t="s">
        <v>131</v>
      </c>
      <c r="P2" s="5" t="s">
        <v>130</v>
      </c>
      <c r="Q2" s="5" t="s">
        <v>101</v>
      </c>
      <c r="R2" s="5" t="s">
        <v>81</v>
      </c>
      <c r="S2" s="5" t="s">
        <v>82</v>
      </c>
      <c r="T2" s="8" t="s">
        <v>132</v>
      </c>
      <c r="U2" s="8" t="s">
        <v>185</v>
      </c>
      <c r="V2" s="8" t="s">
        <v>132</v>
      </c>
      <c r="W2" s="8" t="s">
        <v>133</v>
      </c>
      <c r="X2" s="8" t="s">
        <v>134</v>
      </c>
      <c r="Y2" s="8" t="s">
        <v>135</v>
      </c>
      <c r="Z2" s="8" t="s">
        <v>132</v>
      </c>
      <c r="AA2" s="8" t="s">
        <v>133</v>
      </c>
      <c r="AB2" s="8" t="s">
        <v>134</v>
      </c>
      <c r="AC2" s="72"/>
      <c r="AD2" s="40" t="s">
        <v>46</v>
      </c>
      <c r="AE2" s="8" t="s">
        <v>101</v>
      </c>
      <c r="AF2" s="8" t="s">
        <v>85</v>
      </c>
      <c r="AG2" s="6" t="s">
        <v>83</v>
      </c>
      <c r="AH2" s="67"/>
    </row>
    <row r="3" spans="16:34" ht="15.75" thickBot="1">
      <c r="P3" s="2" t="s">
        <v>45</v>
      </c>
      <c r="Q3" s="2" t="s">
        <v>104</v>
      </c>
      <c r="S3" s="2" t="s">
        <v>104</v>
      </c>
      <c r="T3" s="3" t="s">
        <v>105</v>
      </c>
      <c r="U3" s="3" t="s">
        <v>105</v>
      </c>
      <c r="V3" s="3" t="s">
        <v>105</v>
      </c>
      <c r="W3" s="3" t="s">
        <v>105</v>
      </c>
      <c r="X3" s="3" t="s">
        <v>105</v>
      </c>
      <c r="Y3" s="3" t="s">
        <v>104</v>
      </c>
      <c r="Z3" s="3" t="s">
        <v>105</v>
      </c>
      <c r="AA3" s="3" t="s">
        <v>105</v>
      </c>
      <c r="AB3" s="3" t="s">
        <v>105</v>
      </c>
      <c r="AC3" s="73" t="s">
        <v>104</v>
      </c>
      <c r="AD3" s="18" t="s">
        <v>107</v>
      </c>
      <c r="AE3" s="18" t="s">
        <v>107</v>
      </c>
      <c r="AF3" s="18" t="s">
        <v>107</v>
      </c>
      <c r="AG3" s="19" t="s">
        <v>107</v>
      </c>
      <c r="AH3" s="68" t="s">
        <v>104</v>
      </c>
    </row>
    <row r="4" spans="1:194" s="21" customFormat="1" ht="17.25" thickBot="1" thickTop="1">
      <c r="A4" s="165" t="s">
        <v>136</v>
      </c>
      <c r="B4" s="166">
        <f>C5+C10</f>
        <v>410.77600000000007</v>
      </c>
      <c r="C4" s="167">
        <f>D5+D10</f>
        <v>484.71568</v>
      </c>
      <c r="D4" s="168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6"/>
      <c r="AD4" s="135"/>
      <c r="AE4" s="135"/>
      <c r="AF4" s="135"/>
      <c r="AG4" s="135"/>
      <c r="AH4" s="137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34" s="19" customFormat="1" ht="30">
      <c r="A5" s="169"/>
      <c r="B5" s="170" t="s">
        <v>155</v>
      </c>
      <c r="C5" s="171">
        <f>SUM(AC5:AC9)</f>
        <v>335.528</v>
      </c>
      <c r="D5" s="172">
        <f>SUM(AH5:AH9)</f>
        <v>395.92304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138"/>
    </row>
    <row r="6" spans="1:34" ht="30">
      <c r="A6" s="173"/>
      <c r="B6" s="174"/>
      <c r="D6" s="164" t="s">
        <v>111</v>
      </c>
      <c r="G6" s="39"/>
      <c r="H6" s="38"/>
      <c r="I6" s="1">
        <v>1</v>
      </c>
      <c r="N6" s="3">
        <v>3</v>
      </c>
      <c r="O6" s="8" t="s">
        <v>50</v>
      </c>
      <c r="P6" s="2">
        <v>8</v>
      </c>
      <c r="Q6" s="2">
        <f>P6*N6</f>
        <v>24</v>
      </c>
      <c r="S6" s="2">
        <f>P6*R6</f>
        <v>0</v>
      </c>
      <c r="T6" s="3">
        <v>10</v>
      </c>
      <c r="U6" s="3">
        <v>25</v>
      </c>
      <c r="V6" s="3">
        <v>5</v>
      </c>
      <c r="W6" s="3">
        <v>10</v>
      </c>
      <c r="X6" s="3">
        <v>30</v>
      </c>
      <c r="Z6" s="3">
        <v>2</v>
      </c>
      <c r="AA6" s="3">
        <v>6</v>
      </c>
      <c r="AB6" s="3">
        <v>12</v>
      </c>
      <c r="AC6" s="74">
        <f>((Q6+Y6)*GA+(T6+V6+Z6)*EEEM+(W6+AA6)*EESM+(U6*DM)+(X6+AB6)*EETB)*I6</f>
        <v>121.648</v>
      </c>
      <c r="AD6" s="18">
        <f>4*2</f>
        <v>8</v>
      </c>
      <c r="AE6" s="3">
        <f>4*2</f>
        <v>8</v>
      </c>
      <c r="AF6" s="3">
        <f>2*1</f>
        <v>2</v>
      </c>
      <c r="AG6" s="23">
        <f>IF(AC6=0,"",AD6+AE6+AF6)</f>
        <v>18</v>
      </c>
      <c r="AH6" s="139">
        <f aca="true" t="shared" si="0" ref="AH6:AH12">IF(AG6="",0,AC6*(1+AG6/100))</f>
        <v>143.54464</v>
      </c>
    </row>
    <row r="7" spans="1:34" ht="30">
      <c r="A7" s="173" t="s">
        <v>110</v>
      </c>
      <c r="B7" s="174"/>
      <c r="D7" s="164" t="s">
        <v>123</v>
      </c>
      <c r="F7" s="1" t="s">
        <v>49</v>
      </c>
      <c r="G7" s="39"/>
      <c r="H7" s="38"/>
      <c r="I7" s="8">
        <v>1</v>
      </c>
      <c r="N7" s="3">
        <v>3</v>
      </c>
      <c r="O7" s="8" t="s">
        <v>88</v>
      </c>
      <c r="P7" s="2">
        <v>3</v>
      </c>
      <c r="Q7" s="2">
        <f>P7*N7</f>
        <v>9</v>
      </c>
      <c r="S7" s="2">
        <f>P7*R7</f>
        <v>0</v>
      </c>
      <c r="T7" s="3">
        <v>10</v>
      </c>
      <c r="U7" s="3">
        <v>15</v>
      </c>
      <c r="V7" s="3">
        <v>15</v>
      </c>
      <c r="W7" s="3">
        <v>20</v>
      </c>
      <c r="X7" s="3">
        <v>30</v>
      </c>
      <c r="Z7" s="3">
        <v>10</v>
      </c>
      <c r="AA7" s="3">
        <v>10</v>
      </c>
      <c r="AB7" s="3">
        <v>20</v>
      </c>
      <c r="AC7" s="74">
        <f>((Q7+Y7)*GA+(T7+V7+Z7)*EEEM+(W7+AA7)*EESM+(U7*DM)+(X7+AB7)*EETB)*I7</f>
        <v>138</v>
      </c>
      <c r="AD7" s="18">
        <f>4*2</f>
        <v>8</v>
      </c>
      <c r="AE7" s="3">
        <f>4*2</f>
        <v>8</v>
      </c>
      <c r="AF7" s="3">
        <f>2*1</f>
        <v>2</v>
      </c>
      <c r="AG7" s="23">
        <f>IF(AC7=0,"",AD7+AE7+AF7)</f>
        <v>18</v>
      </c>
      <c r="AH7" s="139">
        <f t="shared" si="0"/>
        <v>162.84</v>
      </c>
    </row>
    <row r="8" spans="1:34" ht="30">
      <c r="A8" s="173"/>
      <c r="B8" s="174"/>
      <c r="D8" s="164" t="s">
        <v>4</v>
      </c>
      <c r="F8" s="1" t="s">
        <v>24</v>
      </c>
      <c r="G8" s="39"/>
      <c r="H8" s="38"/>
      <c r="I8" s="8">
        <v>1</v>
      </c>
      <c r="AD8" s="18"/>
      <c r="AE8" s="3"/>
      <c r="AG8" s="23"/>
      <c r="AH8" s="139"/>
    </row>
    <row r="9" spans="1:34" s="53" customFormat="1" ht="15.75" thickBot="1">
      <c r="A9" s="175"/>
      <c r="B9" s="176"/>
      <c r="C9" s="177"/>
      <c r="D9" s="177" t="s">
        <v>51</v>
      </c>
      <c r="E9" s="82"/>
      <c r="F9" s="82" t="s">
        <v>52</v>
      </c>
      <c r="G9" s="83"/>
      <c r="H9" s="84"/>
      <c r="I9" s="85">
        <v>1</v>
      </c>
      <c r="J9" s="82"/>
      <c r="K9" s="82"/>
      <c r="L9" s="82"/>
      <c r="M9" s="82"/>
      <c r="N9" s="86">
        <v>1</v>
      </c>
      <c r="O9" s="85" t="s">
        <v>50</v>
      </c>
      <c r="P9" s="87">
        <v>3</v>
      </c>
      <c r="Q9" s="87">
        <v>3</v>
      </c>
      <c r="R9" s="87"/>
      <c r="S9" s="86">
        <f>P9*N9</f>
        <v>3</v>
      </c>
      <c r="T9" s="86">
        <v>5</v>
      </c>
      <c r="U9" s="86">
        <v>10</v>
      </c>
      <c r="V9" s="86">
        <v>5</v>
      </c>
      <c r="W9" s="86">
        <v>10</v>
      </c>
      <c r="X9" s="86">
        <v>30</v>
      </c>
      <c r="Y9" s="86"/>
      <c r="Z9" s="86">
        <v>5</v>
      </c>
      <c r="AA9" s="86">
        <v>5</v>
      </c>
      <c r="AB9" s="86">
        <v>10</v>
      </c>
      <c r="AC9" s="74">
        <f>((Q9+Y9)*GA+(T9+V9+Z9)*EEEM+(W9+AA9)*EESM+(U9*DM)+(X9+AB9)*EETB)*I9</f>
        <v>75.88000000000001</v>
      </c>
      <c r="AD9" s="88">
        <f>4*2</f>
        <v>8</v>
      </c>
      <c r="AE9" s="86">
        <f>4*2</f>
        <v>8</v>
      </c>
      <c r="AF9" s="86">
        <f>2*1</f>
        <v>2</v>
      </c>
      <c r="AG9" s="89">
        <f>IF(AC9=0,"",AD9+AE9+AF9)</f>
        <v>18</v>
      </c>
      <c r="AH9" s="140">
        <f t="shared" si="0"/>
        <v>89.53840000000001</v>
      </c>
    </row>
    <row r="10" spans="1:34" ht="30">
      <c r="A10" s="169"/>
      <c r="B10" s="170" t="s">
        <v>156</v>
      </c>
      <c r="C10" s="171">
        <f>SUM(AC11:AC12)</f>
        <v>75.24800000000002</v>
      </c>
      <c r="D10" s="172">
        <f>SUM(AH12+AH11)</f>
        <v>88.79264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1"/>
      <c r="AD10" s="80"/>
      <c r="AE10" s="80"/>
      <c r="AF10" s="80"/>
      <c r="AG10" s="80"/>
      <c r="AH10" s="138"/>
    </row>
    <row r="11" spans="1:34" s="49" customFormat="1" ht="30.75" thickBot="1">
      <c r="A11" s="178"/>
      <c r="B11" s="179"/>
      <c r="C11" s="180"/>
      <c r="D11" s="180" t="s">
        <v>112</v>
      </c>
      <c r="E11" s="141"/>
      <c r="F11" s="141" t="s">
        <v>115</v>
      </c>
      <c r="G11" s="142"/>
      <c r="H11" s="142"/>
      <c r="I11" s="143">
        <v>1</v>
      </c>
      <c r="J11" s="141"/>
      <c r="K11" s="141"/>
      <c r="L11" s="141"/>
      <c r="M11" s="141"/>
      <c r="N11" s="144">
        <v>1</v>
      </c>
      <c r="O11" s="143" t="s">
        <v>50</v>
      </c>
      <c r="P11" s="145">
        <v>5</v>
      </c>
      <c r="Q11" s="145">
        <v>5</v>
      </c>
      <c r="R11" s="145"/>
      <c r="S11" s="145">
        <f>P11*R11</f>
        <v>0</v>
      </c>
      <c r="T11" s="144">
        <v>5</v>
      </c>
      <c r="U11" s="144">
        <v>5</v>
      </c>
      <c r="V11" s="144">
        <v>2</v>
      </c>
      <c r="W11" s="144">
        <v>8</v>
      </c>
      <c r="X11" s="144">
        <v>10</v>
      </c>
      <c r="Y11" s="144"/>
      <c r="Z11" s="144">
        <v>3</v>
      </c>
      <c r="AA11" s="144">
        <v>3</v>
      </c>
      <c r="AB11" s="144">
        <v>5</v>
      </c>
      <c r="AC11" s="74">
        <f>((Q11+Y11)*GA+(T11+V11+Z11)*EEEM+(W11+AA11)*EESM+(U11*DM)+(X11+AB11)*EETB)*I11</f>
        <v>46.34400000000001</v>
      </c>
      <c r="AD11" s="146">
        <f>4*2</f>
        <v>8</v>
      </c>
      <c r="AE11" s="144">
        <f>4*2</f>
        <v>8</v>
      </c>
      <c r="AF11" s="144">
        <f>2*1</f>
        <v>2</v>
      </c>
      <c r="AG11" s="147">
        <f>IF(AC11=0,"",AD11+AE11+AF11)</f>
        <v>18</v>
      </c>
      <c r="AH11" s="148">
        <f>IF(AG11="",0,AC11*(1+AG11/100))</f>
        <v>54.68592000000001</v>
      </c>
    </row>
    <row r="12" spans="1:34" s="476" customFormat="1" ht="31.5" thickBot="1" thickTop="1">
      <c r="A12" s="489"/>
      <c r="B12" s="490"/>
      <c r="C12" s="488"/>
      <c r="D12" s="488" t="s">
        <v>112</v>
      </c>
      <c r="E12" s="491"/>
      <c r="F12" s="491" t="s">
        <v>115</v>
      </c>
      <c r="G12" s="492"/>
      <c r="H12" s="492"/>
      <c r="I12" s="493">
        <v>1</v>
      </c>
      <c r="J12" s="491"/>
      <c r="K12" s="491"/>
      <c r="L12" s="491"/>
      <c r="M12" s="491"/>
      <c r="N12" s="494">
        <v>1</v>
      </c>
      <c r="O12" s="493" t="s">
        <v>50</v>
      </c>
      <c r="P12" s="495">
        <v>3</v>
      </c>
      <c r="Q12" s="495">
        <v>3</v>
      </c>
      <c r="R12" s="495"/>
      <c r="S12" s="495">
        <f>P12*R12</f>
        <v>0</v>
      </c>
      <c r="T12" s="494">
        <v>3</v>
      </c>
      <c r="U12" s="494">
        <v>3</v>
      </c>
      <c r="V12" s="494">
        <v>1</v>
      </c>
      <c r="W12" s="494">
        <v>5</v>
      </c>
      <c r="X12" s="494">
        <v>6</v>
      </c>
      <c r="Y12" s="494"/>
      <c r="Z12" s="494">
        <v>2</v>
      </c>
      <c r="AA12" s="494">
        <v>2</v>
      </c>
      <c r="AB12" s="494">
        <v>4</v>
      </c>
      <c r="AC12" s="74">
        <f>((Q12+Y12)*GA+(T12+V12+Z12)*EEEM+(W12+AA12)*EESM+(U12*DM)+(X12+AB12)*EETB)*I12</f>
        <v>28.904000000000003</v>
      </c>
      <c r="AD12" s="497">
        <f>4*2</f>
        <v>8</v>
      </c>
      <c r="AE12" s="494">
        <f>4*2</f>
        <v>8</v>
      </c>
      <c r="AF12" s="494">
        <f>2*1</f>
        <v>2</v>
      </c>
      <c r="AG12" s="498">
        <f>IF(AC12=0,"",AD12+AE12+AF12)</f>
        <v>18</v>
      </c>
      <c r="AH12" s="499">
        <f t="shared" si="0"/>
        <v>34.10672</v>
      </c>
    </row>
    <row r="13" spans="1:194" s="21" customFormat="1" ht="31.5" thickBot="1" thickTop="1">
      <c r="A13" s="165" t="s">
        <v>137</v>
      </c>
      <c r="B13" s="166">
        <f>C14+C16</f>
        <v>67.548</v>
      </c>
      <c r="C13" s="167">
        <f>D14+D16</f>
        <v>79.70664</v>
      </c>
      <c r="D13" s="168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135"/>
      <c r="AE13" s="135"/>
      <c r="AF13" s="135"/>
      <c r="AG13" s="135"/>
      <c r="AH13" s="137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</row>
    <row r="14" spans="1:34" ht="30">
      <c r="A14" s="173" t="s">
        <v>110</v>
      </c>
      <c r="B14" s="170" t="s">
        <v>157</v>
      </c>
      <c r="C14" s="171">
        <f>SUM(AC15)</f>
        <v>0</v>
      </c>
      <c r="D14" s="172">
        <f>SUM(AH15)</f>
        <v>0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80"/>
      <c r="AE14" s="80"/>
      <c r="AF14" s="80"/>
      <c r="AG14" s="80"/>
      <c r="AH14" s="138"/>
    </row>
    <row r="15" spans="1:34" s="36" customFormat="1" ht="15.75" thickBot="1">
      <c r="A15" s="181"/>
      <c r="B15" s="182"/>
      <c r="C15" s="183"/>
      <c r="D15" s="183"/>
      <c r="E15" s="98"/>
      <c r="F15" s="98"/>
      <c r="G15" s="98"/>
      <c r="H15" s="98"/>
      <c r="I15" s="99"/>
      <c r="J15" s="98"/>
      <c r="K15" s="98"/>
      <c r="L15" s="98"/>
      <c r="M15" s="98"/>
      <c r="N15" s="100"/>
      <c r="O15" s="99"/>
      <c r="P15" s="101"/>
      <c r="Q15" s="101"/>
      <c r="R15" s="101"/>
      <c r="S15" s="101"/>
      <c r="T15" s="100"/>
      <c r="U15" s="100"/>
      <c r="V15" s="100"/>
      <c r="W15" s="100"/>
      <c r="X15" s="100"/>
      <c r="Y15" s="100"/>
      <c r="Z15" s="100"/>
      <c r="AA15" s="100"/>
      <c r="AB15" s="100"/>
      <c r="AC15" s="496"/>
      <c r="AD15" s="102"/>
      <c r="AE15" s="100"/>
      <c r="AF15" s="100"/>
      <c r="AG15" s="103">
        <f>IF(AC15=0,"",AD15+AE15+AF15)</f>
      </c>
      <c r="AH15" s="499">
        <v>0</v>
      </c>
    </row>
    <row r="16" spans="1:34" ht="30">
      <c r="A16" s="173" t="s">
        <v>110</v>
      </c>
      <c r="B16" s="170" t="s">
        <v>158</v>
      </c>
      <c r="C16" s="171">
        <f>SUM(AC17)</f>
        <v>67.548</v>
      </c>
      <c r="D16" s="172">
        <f>SUM(AH17)</f>
        <v>79.70664</v>
      </c>
      <c r="E16" s="80"/>
      <c r="F16" s="80"/>
      <c r="G16" s="80"/>
      <c r="H16" s="80"/>
      <c r="I16" s="104">
        <v>1</v>
      </c>
      <c r="J16" s="80"/>
      <c r="K16" s="80"/>
      <c r="L16" s="80"/>
      <c r="M16" s="80"/>
      <c r="N16" s="105"/>
      <c r="O16" s="104"/>
      <c r="P16" s="106"/>
      <c r="Q16" s="106"/>
      <c r="R16" s="106"/>
      <c r="S16" s="106"/>
      <c r="T16" s="105"/>
      <c r="U16" s="105"/>
      <c r="V16" s="105"/>
      <c r="W16" s="105"/>
      <c r="X16" s="105"/>
      <c r="Y16" s="105"/>
      <c r="Z16" s="105"/>
      <c r="AA16" s="105"/>
      <c r="AB16" s="105"/>
      <c r="AC16" s="107"/>
      <c r="AD16" s="108"/>
      <c r="AE16" s="105"/>
      <c r="AF16" s="105" t="s">
        <v>110</v>
      </c>
      <c r="AG16" s="108">
        <f>IF(AC16=0,"",AD16+AE16+AF16)</f>
      </c>
      <c r="AH16" s="149">
        <f>IF(AG16="",0,AC16*(1+AG16/100))</f>
        <v>0</v>
      </c>
    </row>
    <row r="17" spans="1:34" s="510" customFormat="1" ht="24.75" thickBot="1">
      <c r="A17" s="500"/>
      <c r="B17" s="501"/>
      <c r="C17" s="502"/>
      <c r="D17" s="502" t="s">
        <v>113</v>
      </c>
      <c r="E17" s="503" t="s">
        <v>67</v>
      </c>
      <c r="F17" s="503" t="s">
        <v>116</v>
      </c>
      <c r="G17" s="504"/>
      <c r="H17" s="504"/>
      <c r="I17" s="505">
        <v>1</v>
      </c>
      <c r="J17" s="503"/>
      <c r="K17" s="503"/>
      <c r="L17" s="503"/>
      <c r="M17" s="503"/>
      <c r="N17" s="506">
        <v>10</v>
      </c>
      <c r="O17" s="505" t="s">
        <v>9</v>
      </c>
      <c r="P17" s="507">
        <v>0.5</v>
      </c>
      <c r="Q17" s="507">
        <f>P17*N17</f>
        <v>5</v>
      </c>
      <c r="R17" s="507"/>
      <c r="S17" s="507">
        <f>P17*R17</f>
        <v>0</v>
      </c>
      <c r="T17" s="506">
        <v>0.5</v>
      </c>
      <c r="U17" s="506">
        <v>1</v>
      </c>
      <c r="V17" s="506">
        <v>0</v>
      </c>
      <c r="W17" s="506">
        <v>0</v>
      </c>
      <c r="X17" s="506">
        <v>0</v>
      </c>
      <c r="Y17" s="506"/>
      <c r="Z17" s="506">
        <v>15</v>
      </c>
      <c r="AA17" s="506">
        <v>15</v>
      </c>
      <c r="AB17" s="506">
        <v>35</v>
      </c>
      <c r="AC17" s="74">
        <f>((Q17+Y17)*GA+(T17+V17+Z17)*EEEM+(W17+AA17)*EESM+(U17*DM)+(X17+AB17)*EETB)*I17</f>
        <v>67.548</v>
      </c>
      <c r="AD17" s="508">
        <f>4*2</f>
        <v>8</v>
      </c>
      <c r="AE17" s="506">
        <f>4*2</f>
        <v>8</v>
      </c>
      <c r="AF17" s="506">
        <f>2*1</f>
        <v>2</v>
      </c>
      <c r="AG17" s="509">
        <f>IF(AC17=0,"",AD17+AE17+AF17)</f>
        <v>18</v>
      </c>
      <c r="AH17" s="499">
        <f>IF(AG17="",0,AC17*(1+AG17/100))</f>
        <v>79.70664</v>
      </c>
    </row>
    <row r="18" spans="1:194" s="21" customFormat="1" ht="16.5" thickBot="1" thickTop="1">
      <c r="A18" s="165" t="s">
        <v>138</v>
      </c>
      <c r="B18" s="166">
        <f>C19+C33+C45</f>
        <v>4342.8640000000005</v>
      </c>
      <c r="C18" s="167">
        <f>D19+D33+D45</f>
        <v>5421.34848</v>
      </c>
      <c r="D18" s="168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135"/>
      <c r="AE18" s="135"/>
      <c r="AF18" s="135"/>
      <c r="AG18" s="135"/>
      <c r="AH18" s="137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</row>
    <row r="19" spans="1:34" ht="30">
      <c r="A19" s="173"/>
      <c r="B19" s="170" t="s">
        <v>159</v>
      </c>
      <c r="C19" s="171">
        <f>SUM(AC20:AC32)</f>
        <v>1055.688</v>
      </c>
      <c r="D19" s="172">
        <f>SUM(AH20:AH32)</f>
        <v>1244.8392</v>
      </c>
      <c r="E19" s="80" t="s">
        <v>110</v>
      </c>
      <c r="F19" s="80" t="s">
        <v>110</v>
      </c>
      <c r="G19" s="80"/>
      <c r="H19" s="80"/>
      <c r="I19" s="80" t="s">
        <v>110</v>
      </c>
      <c r="J19" s="80" t="s">
        <v>110</v>
      </c>
      <c r="K19" s="80" t="s">
        <v>110</v>
      </c>
      <c r="L19" s="80" t="s">
        <v>110</v>
      </c>
      <c r="M19" s="80" t="s">
        <v>110</v>
      </c>
      <c r="N19" s="80" t="s">
        <v>110</v>
      </c>
      <c r="O19" s="80" t="s">
        <v>110</v>
      </c>
      <c r="P19" s="80" t="s">
        <v>110</v>
      </c>
      <c r="Q19" s="80" t="s">
        <v>110</v>
      </c>
      <c r="R19" s="80" t="s">
        <v>110</v>
      </c>
      <c r="S19" s="80" t="s">
        <v>110</v>
      </c>
      <c r="T19" s="80" t="s">
        <v>110</v>
      </c>
      <c r="U19" s="80" t="s">
        <v>110</v>
      </c>
      <c r="V19" s="80" t="s">
        <v>110</v>
      </c>
      <c r="W19" s="80" t="s">
        <v>110</v>
      </c>
      <c r="X19" s="80" t="s">
        <v>110</v>
      </c>
      <c r="Y19" s="80" t="s">
        <v>110</v>
      </c>
      <c r="Z19" s="80" t="s">
        <v>110</v>
      </c>
      <c r="AA19" s="80" t="s">
        <v>110</v>
      </c>
      <c r="AB19" s="80" t="s">
        <v>110</v>
      </c>
      <c r="AC19" s="81" t="s">
        <v>110</v>
      </c>
      <c r="AD19" s="80" t="s">
        <v>110</v>
      </c>
      <c r="AE19" s="80" t="s">
        <v>110</v>
      </c>
      <c r="AF19" s="80" t="s">
        <v>110</v>
      </c>
      <c r="AG19" s="80" t="s">
        <v>110</v>
      </c>
      <c r="AH19" s="138" t="s">
        <v>110</v>
      </c>
    </row>
    <row r="20" spans="1:34" ht="45">
      <c r="A20" s="173"/>
      <c r="B20" s="174"/>
      <c r="D20" s="164" t="s">
        <v>220</v>
      </c>
      <c r="E20" s="1" t="s">
        <v>18</v>
      </c>
      <c r="G20" s="38"/>
      <c r="H20" s="38"/>
      <c r="I20" s="8">
        <v>1</v>
      </c>
      <c r="Q20" s="2">
        <f>P20*N20</f>
        <v>0</v>
      </c>
      <c r="S20" s="2">
        <f>P20*R20</f>
        <v>0</v>
      </c>
      <c r="T20" s="3">
        <v>15</v>
      </c>
      <c r="U20" s="3">
        <v>60</v>
      </c>
      <c r="V20" s="3">
        <v>15</v>
      </c>
      <c r="W20" s="3">
        <v>15</v>
      </c>
      <c r="X20" s="3">
        <v>15</v>
      </c>
      <c r="AC20" s="74">
        <f aca="true" t="shared" si="1" ref="AC20:AC32">((Q20+Y20)*GA+(T20+V20+Z20)*EEEM+(W20+AA20)*EESM+(U20*DM)+(X20+AB20)*EETB)*I20</f>
        <v>121.68</v>
      </c>
      <c r="AD20" s="18">
        <f aca="true" t="shared" si="2" ref="AD20:AE27">4*2</f>
        <v>8</v>
      </c>
      <c r="AE20" s="3">
        <f t="shared" si="2"/>
        <v>8</v>
      </c>
      <c r="AF20" s="3">
        <f aca="true" t="shared" si="3" ref="AF20:AF32">2*1</f>
        <v>2</v>
      </c>
      <c r="AG20" s="23">
        <f aca="true" t="shared" si="4" ref="AG20:AG32">IF(AC20=0,"",AD20+AE20+AF20)</f>
        <v>18</v>
      </c>
      <c r="AH20" s="139">
        <f aca="true" t="shared" si="5" ref="AH20:AH32">IF(AG20="",0,AC20*(1+AG20/100))</f>
        <v>143.5824</v>
      </c>
    </row>
    <row r="21" spans="1:34" s="457" customFormat="1" ht="25.5">
      <c r="A21" s="447"/>
      <c r="B21" s="448"/>
      <c r="C21" s="449"/>
      <c r="D21" s="449"/>
      <c r="E21" s="450" t="s">
        <v>214</v>
      </c>
      <c r="F21" s="450" t="s">
        <v>216</v>
      </c>
      <c r="G21" s="450"/>
      <c r="H21" s="450"/>
      <c r="I21" s="451">
        <v>1</v>
      </c>
      <c r="J21" s="450">
        <v>26</v>
      </c>
      <c r="K21" s="450" t="s">
        <v>47</v>
      </c>
      <c r="L21" s="450"/>
      <c r="M21" s="450"/>
      <c r="N21" s="452"/>
      <c r="O21" s="451"/>
      <c r="P21" s="453"/>
      <c r="Q21" s="454"/>
      <c r="R21" s="453"/>
      <c r="S21" s="453"/>
      <c r="T21" s="452"/>
      <c r="U21" s="452"/>
      <c r="V21" s="452"/>
      <c r="W21" s="452"/>
      <c r="X21" s="452"/>
      <c r="Y21" s="523">
        <v>310</v>
      </c>
      <c r="Z21" s="452"/>
      <c r="AA21" s="452"/>
      <c r="AB21" s="452"/>
      <c r="AC21" s="74">
        <f t="shared" si="1"/>
        <v>396.8</v>
      </c>
      <c r="AD21" s="454">
        <f t="shared" si="2"/>
        <v>8</v>
      </c>
      <c r="AE21" s="452">
        <f t="shared" si="2"/>
        <v>8</v>
      </c>
      <c r="AF21" s="452">
        <f t="shared" si="3"/>
        <v>2</v>
      </c>
      <c r="AG21" s="455">
        <f t="shared" si="4"/>
        <v>18</v>
      </c>
      <c r="AH21" s="456">
        <f t="shared" si="5"/>
        <v>468.224</v>
      </c>
    </row>
    <row r="22" spans="1:34" s="521" customFormat="1" ht="25.5">
      <c r="A22" s="511"/>
      <c r="B22" s="512"/>
      <c r="C22" s="513"/>
      <c r="D22" s="513"/>
      <c r="E22" s="514" t="s">
        <v>213</v>
      </c>
      <c r="F22" s="514" t="s">
        <v>217</v>
      </c>
      <c r="G22" s="514"/>
      <c r="H22" s="514"/>
      <c r="I22" s="515">
        <v>1</v>
      </c>
      <c r="J22" s="514">
        <v>26</v>
      </c>
      <c r="K22" s="514" t="s">
        <v>47</v>
      </c>
      <c r="L22" s="514"/>
      <c r="M22" s="514"/>
      <c r="N22" s="516"/>
      <c r="O22" s="515"/>
      <c r="P22" s="517"/>
      <c r="Q22" s="518"/>
      <c r="R22" s="517"/>
      <c r="S22" s="517"/>
      <c r="T22" s="516"/>
      <c r="U22" s="516"/>
      <c r="V22" s="516"/>
      <c r="W22" s="516"/>
      <c r="X22" s="516"/>
      <c r="Y22" s="524">
        <v>195</v>
      </c>
      <c r="Z22" s="516"/>
      <c r="AA22" s="516"/>
      <c r="AB22" s="516"/>
      <c r="AC22" s="74">
        <f t="shared" si="1"/>
        <v>249.6</v>
      </c>
      <c r="AD22" s="518">
        <f t="shared" si="2"/>
        <v>8</v>
      </c>
      <c r="AE22" s="516">
        <f t="shared" si="2"/>
        <v>8</v>
      </c>
      <c r="AF22" s="516">
        <f t="shared" si="3"/>
        <v>2</v>
      </c>
      <c r="AG22" s="519">
        <f t="shared" si="4"/>
        <v>18</v>
      </c>
      <c r="AH22" s="520">
        <f t="shared" si="5"/>
        <v>294.52799999999996</v>
      </c>
    </row>
    <row r="23" spans="1:34" ht="15">
      <c r="A23" s="173"/>
      <c r="B23" s="174"/>
      <c r="F23" s="1" t="s">
        <v>8</v>
      </c>
      <c r="I23" s="8">
        <v>1</v>
      </c>
      <c r="J23" s="1" t="s">
        <v>110</v>
      </c>
      <c r="K23" s="1" t="s">
        <v>110</v>
      </c>
      <c r="L23" s="1" t="s">
        <v>110</v>
      </c>
      <c r="M23" s="1" t="s">
        <v>110</v>
      </c>
      <c r="N23" s="3">
        <v>50</v>
      </c>
      <c r="O23" s="8" t="s">
        <v>103</v>
      </c>
      <c r="P23" s="2">
        <v>0.05</v>
      </c>
      <c r="Q23" s="2">
        <f aca="true" t="shared" si="6" ref="Q23:Q30">P23*N23</f>
        <v>2.5</v>
      </c>
      <c r="S23" s="2">
        <f aca="true" t="shared" si="7" ref="S23:S32">P23*R23</f>
        <v>0</v>
      </c>
      <c r="T23" s="3">
        <v>2</v>
      </c>
      <c r="U23" s="3">
        <v>4</v>
      </c>
      <c r="AC23" s="74">
        <f t="shared" si="1"/>
        <v>9.552</v>
      </c>
      <c r="AD23" s="18">
        <f t="shared" si="2"/>
        <v>8</v>
      </c>
      <c r="AE23" s="3">
        <f t="shared" si="2"/>
        <v>8</v>
      </c>
      <c r="AF23" s="3">
        <f t="shared" si="3"/>
        <v>2</v>
      </c>
      <c r="AG23" s="23">
        <f t="shared" si="4"/>
        <v>18</v>
      </c>
      <c r="AH23" s="139">
        <f t="shared" si="5"/>
        <v>11.27136</v>
      </c>
    </row>
    <row r="24" spans="1:34" ht="15">
      <c r="A24" s="173"/>
      <c r="B24" s="174"/>
      <c r="F24" s="1" t="s">
        <v>16</v>
      </c>
      <c r="I24" s="8">
        <v>1</v>
      </c>
      <c r="J24" s="1" t="s">
        <v>110</v>
      </c>
      <c r="K24" s="1" t="s">
        <v>110</v>
      </c>
      <c r="L24" s="1" t="s">
        <v>110</v>
      </c>
      <c r="M24" s="1" t="s">
        <v>110</v>
      </c>
      <c r="N24" s="3">
        <v>50</v>
      </c>
      <c r="O24" s="8" t="s">
        <v>103</v>
      </c>
      <c r="P24" s="2">
        <v>0.05</v>
      </c>
      <c r="Q24" s="2">
        <f t="shared" si="6"/>
        <v>2.5</v>
      </c>
      <c r="S24" s="2">
        <f t="shared" si="7"/>
        <v>0</v>
      </c>
      <c r="AC24" s="74">
        <f t="shared" si="1"/>
        <v>3.2</v>
      </c>
      <c r="AD24" s="18">
        <f t="shared" si="2"/>
        <v>8</v>
      </c>
      <c r="AE24" s="3">
        <f t="shared" si="2"/>
        <v>8</v>
      </c>
      <c r="AF24" s="3">
        <f t="shared" si="3"/>
        <v>2</v>
      </c>
      <c r="AG24" s="23">
        <f t="shared" si="4"/>
        <v>18</v>
      </c>
      <c r="AH24" s="139">
        <f t="shared" si="5"/>
        <v>3.776</v>
      </c>
    </row>
    <row r="25" spans="1:36" s="49" customFormat="1" ht="30">
      <c r="A25" s="458"/>
      <c r="B25" s="190"/>
      <c r="C25" s="191"/>
      <c r="D25" s="191" t="s">
        <v>264</v>
      </c>
      <c r="E25" s="48" t="s">
        <v>18</v>
      </c>
      <c r="F25" s="48"/>
      <c r="G25" s="48"/>
      <c r="H25" s="48"/>
      <c r="I25" s="43">
        <v>1</v>
      </c>
      <c r="J25" s="48"/>
      <c r="K25" s="48"/>
      <c r="L25" s="48"/>
      <c r="M25" s="48"/>
      <c r="N25" s="50"/>
      <c r="O25" s="43"/>
      <c r="P25" s="37"/>
      <c r="Q25" s="37">
        <f t="shared" si="6"/>
        <v>0</v>
      </c>
      <c r="R25" s="37"/>
      <c r="S25" s="37">
        <f t="shared" si="7"/>
        <v>0</v>
      </c>
      <c r="T25" s="50">
        <v>5</v>
      </c>
      <c r="U25" s="50">
        <v>10</v>
      </c>
      <c r="V25" s="50">
        <v>5</v>
      </c>
      <c r="W25" s="50">
        <v>5</v>
      </c>
      <c r="X25" s="50">
        <v>5</v>
      </c>
      <c r="Y25" s="50"/>
      <c r="Z25" s="50"/>
      <c r="AA25" s="50"/>
      <c r="AB25" s="50"/>
      <c r="AC25" s="74">
        <f t="shared" si="1"/>
        <v>31.360000000000007</v>
      </c>
      <c r="AD25" s="51">
        <f t="shared" si="2"/>
        <v>8</v>
      </c>
      <c r="AE25" s="50">
        <f t="shared" si="2"/>
        <v>8</v>
      </c>
      <c r="AF25" s="50">
        <f t="shared" si="3"/>
        <v>2</v>
      </c>
      <c r="AG25" s="47">
        <f>IF(AC25=0,"",AD25+AE25+AF25)</f>
        <v>18</v>
      </c>
      <c r="AH25" s="520">
        <f t="shared" si="5"/>
        <v>37.0048</v>
      </c>
      <c r="AJ25" s="469"/>
    </row>
    <row r="26" spans="1:36" s="49" customFormat="1" ht="24">
      <c r="A26" s="458"/>
      <c r="B26" s="190"/>
      <c r="C26" s="191"/>
      <c r="D26" s="191"/>
      <c r="E26" s="48" t="s">
        <v>17</v>
      </c>
      <c r="F26" s="48" t="s">
        <v>265</v>
      </c>
      <c r="G26" s="48"/>
      <c r="H26" s="48"/>
      <c r="I26" s="43">
        <v>1</v>
      </c>
      <c r="J26" s="48">
        <v>1</v>
      </c>
      <c r="K26" s="48" t="s">
        <v>12</v>
      </c>
      <c r="L26" s="48">
        <v>150</v>
      </c>
      <c r="M26" s="48" t="s">
        <v>11</v>
      </c>
      <c r="N26" s="50">
        <f>J26*L26</f>
        <v>150</v>
      </c>
      <c r="O26" s="43" t="s">
        <v>103</v>
      </c>
      <c r="P26" s="37">
        <v>0.012</v>
      </c>
      <c r="Q26" s="37">
        <f t="shared" si="6"/>
        <v>1.8</v>
      </c>
      <c r="R26" s="37"/>
      <c r="S26" s="37">
        <f t="shared" si="7"/>
        <v>0</v>
      </c>
      <c r="T26" s="50"/>
      <c r="U26" s="50"/>
      <c r="V26" s="50"/>
      <c r="W26" s="50"/>
      <c r="X26" s="50"/>
      <c r="Y26" s="50">
        <v>20</v>
      </c>
      <c r="Z26" s="50"/>
      <c r="AA26" s="50"/>
      <c r="AB26" s="50"/>
      <c r="AC26" s="74">
        <f t="shared" si="1"/>
        <v>27.904</v>
      </c>
      <c r="AD26" s="51">
        <f t="shared" si="2"/>
        <v>8</v>
      </c>
      <c r="AE26" s="50">
        <f t="shared" si="2"/>
        <v>8</v>
      </c>
      <c r="AF26" s="50">
        <f t="shared" si="3"/>
        <v>2</v>
      </c>
      <c r="AG26" s="47">
        <f>IF(AC26=0,"",AD26+AE26+AF26)</f>
        <v>18</v>
      </c>
      <c r="AH26" s="520">
        <f t="shared" si="5"/>
        <v>32.926719999999996</v>
      </c>
      <c r="AJ26" s="469"/>
    </row>
    <row r="27" spans="1:36" s="49" customFormat="1" ht="15">
      <c r="A27" s="458"/>
      <c r="B27" s="190"/>
      <c r="C27" s="191"/>
      <c r="D27" s="191"/>
      <c r="E27" s="48"/>
      <c r="F27" s="48" t="s">
        <v>266</v>
      </c>
      <c r="G27" s="48"/>
      <c r="H27" s="48"/>
      <c r="I27" s="43">
        <v>1</v>
      </c>
      <c r="J27" s="48">
        <v>1</v>
      </c>
      <c r="K27" s="48" t="s">
        <v>12</v>
      </c>
      <c r="L27" s="48">
        <v>150</v>
      </c>
      <c r="M27" s="48" t="s">
        <v>11</v>
      </c>
      <c r="N27" s="50">
        <f>J27*L27</f>
        <v>150</v>
      </c>
      <c r="O27" s="43" t="s">
        <v>103</v>
      </c>
      <c r="P27" s="37">
        <v>0.055</v>
      </c>
      <c r="Q27" s="37">
        <f t="shared" si="6"/>
        <v>8.25</v>
      </c>
      <c r="R27" s="37"/>
      <c r="S27" s="37">
        <f t="shared" si="7"/>
        <v>0</v>
      </c>
      <c r="T27" s="50"/>
      <c r="U27" s="50"/>
      <c r="V27" s="50"/>
      <c r="W27" s="50"/>
      <c r="X27" s="50"/>
      <c r="Y27" s="50"/>
      <c r="Z27" s="50"/>
      <c r="AA27" s="50"/>
      <c r="AB27" s="50"/>
      <c r="AC27" s="74">
        <f t="shared" si="1"/>
        <v>10.56</v>
      </c>
      <c r="AD27" s="51">
        <f t="shared" si="2"/>
        <v>8</v>
      </c>
      <c r="AE27" s="50">
        <f t="shared" si="2"/>
        <v>8</v>
      </c>
      <c r="AF27" s="50">
        <f t="shared" si="3"/>
        <v>2</v>
      </c>
      <c r="AG27" s="47">
        <f>IF(AC27=0,"",AD27+AE27+AF27)</f>
        <v>18</v>
      </c>
      <c r="AH27" s="520">
        <f t="shared" si="5"/>
        <v>12.4608</v>
      </c>
      <c r="AJ27" s="469"/>
    </row>
    <row r="28" spans="1:36" s="49" customFormat="1" ht="15">
      <c r="A28" s="458"/>
      <c r="B28" s="190"/>
      <c r="C28" s="191"/>
      <c r="D28" s="191"/>
      <c r="E28" s="48"/>
      <c r="F28" s="48" t="s">
        <v>8</v>
      </c>
      <c r="G28" s="48"/>
      <c r="H28" s="48"/>
      <c r="I28" s="43">
        <v>1</v>
      </c>
      <c r="J28" s="48"/>
      <c r="K28" s="48"/>
      <c r="L28" s="48"/>
      <c r="M28" s="48"/>
      <c r="N28" s="50">
        <v>100</v>
      </c>
      <c r="O28" s="43" t="s">
        <v>103</v>
      </c>
      <c r="P28" s="37">
        <v>0.012</v>
      </c>
      <c r="Q28" s="37">
        <f t="shared" si="6"/>
        <v>1.2</v>
      </c>
      <c r="R28" s="37"/>
      <c r="S28" s="37">
        <f t="shared" si="7"/>
        <v>0</v>
      </c>
      <c r="T28" s="50">
        <v>2</v>
      </c>
      <c r="U28" s="50">
        <v>4</v>
      </c>
      <c r="V28" s="50"/>
      <c r="W28" s="50"/>
      <c r="X28" s="50"/>
      <c r="Y28" s="50"/>
      <c r="Z28" s="50"/>
      <c r="AA28" s="50"/>
      <c r="AB28" s="50"/>
      <c r="AC28" s="74">
        <f t="shared" si="1"/>
        <v>7.888</v>
      </c>
      <c r="AD28" s="51">
        <f>1*2</f>
        <v>2</v>
      </c>
      <c r="AE28" s="50">
        <f>4*2</f>
        <v>8</v>
      </c>
      <c r="AF28" s="50">
        <f t="shared" si="3"/>
        <v>2</v>
      </c>
      <c r="AG28" s="47">
        <f>IF(AC28=0,"",AD28+AE28+AF28)</f>
        <v>12</v>
      </c>
      <c r="AH28" s="520">
        <f t="shared" si="5"/>
        <v>8.834560000000002</v>
      </c>
      <c r="AJ28" s="469"/>
    </row>
    <row r="29" spans="1:36" s="49" customFormat="1" ht="15.75" thickBot="1">
      <c r="A29" s="458"/>
      <c r="B29" s="208"/>
      <c r="C29" s="209"/>
      <c r="D29" s="209"/>
      <c r="E29" s="90"/>
      <c r="F29" s="90" t="s">
        <v>16</v>
      </c>
      <c r="G29" s="90"/>
      <c r="H29" s="90"/>
      <c r="I29" s="92">
        <v>1</v>
      </c>
      <c r="J29" s="90"/>
      <c r="K29" s="90"/>
      <c r="L29" s="90"/>
      <c r="M29" s="90"/>
      <c r="N29" s="93">
        <v>100</v>
      </c>
      <c r="O29" s="92" t="s">
        <v>103</v>
      </c>
      <c r="P29" s="94">
        <v>0.012</v>
      </c>
      <c r="Q29" s="94">
        <f t="shared" si="6"/>
        <v>1.2</v>
      </c>
      <c r="R29" s="94"/>
      <c r="S29" s="94">
        <f t="shared" si="7"/>
        <v>0</v>
      </c>
      <c r="T29" s="93"/>
      <c r="U29" s="93"/>
      <c r="V29" s="93"/>
      <c r="W29" s="93"/>
      <c r="X29" s="93"/>
      <c r="Y29" s="93">
        <v>4</v>
      </c>
      <c r="Z29" s="93"/>
      <c r="AA29" s="93"/>
      <c r="AB29" s="93"/>
      <c r="AC29" s="74">
        <f t="shared" si="1"/>
        <v>6.656000000000001</v>
      </c>
      <c r="AD29" s="96">
        <f>1*2</f>
        <v>2</v>
      </c>
      <c r="AE29" s="93">
        <f>4*2</f>
        <v>8</v>
      </c>
      <c r="AF29" s="93">
        <f t="shared" si="3"/>
        <v>2</v>
      </c>
      <c r="AG29" s="97">
        <f>IF(AC29=0,"",AD29+AE29+AF29)</f>
        <v>12</v>
      </c>
      <c r="AH29" s="520">
        <f t="shared" si="5"/>
        <v>7.454720000000002</v>
      </c>
      <c r="AJ29" s="469"/>
    </row>
    <row r="30" spans="1:34" ht="45">
      <c r="A30" s="173"/>
      <c r="B30" s="174"/>
      <c r="D30" s="164" t="s">
        <v>218</v>
      </c>
      <c r="E30" s="1" t="s">
        <v>18</v>
      </c>
      <c r="G30" s="38"/>
      <c r="H30" s="38"/>
      <c r="I30" s="8">
        <v>1</v>
      </c>
      <c r="Q30" s="2">
        <f t="shared" si="6"/>
        <v>0</v>
      </c>
      <c r="S30" s="2">
        <f t="shared" si="7"/>
        <v>0</v>
      </c>
      <c r="T30" s="3">
        <v>15</v>
      </c>
      <c r="U30" s="3">
        <v>40</v>
      </c>
      <c r="V30" s="3">
        <v>10</v>
      </c>
      <c r="W30" s="3">
        <v>10</v>
      </c>
      <c r="X30" s="3">
        <v>10</v>
      </c>
      <c r="AC30" s="74">
        <f t="shared" si="1"/>
        <v>87.80000000000001</v>
      </c>
      <c r="AD30" s="18">
        <f aca="true" t="shared" si="8" ref="AD30:AE32">4*2</f>
        <v>8</v>
      </c>
      <c r="AE30" s="3">
        <f t="shared" si="8"/>
        <v>8</v>
      </c>
      <c r="AF30" s="3">
        <f t="shared" si="3"/>
        <v>2</v>
      </c>
      <c r="AG30" s="23">
        <f t="shared" si="4"/>
        <v>18</v>
      </c>
      <c r="AH30" s="139">
        <f t="shared" si="5"/>
        <v>103.60400000000001</v>
      </c>
    </row>
    <row r="31" spans="1:34" s="591" customFormat="1" ht="24">
      <c r="A31" s="581"/>
      <c r="B31" s="582"/>
      <c r="C31" s="583"/>
      <c r="D31" s="583"/>
      <c r="E31" s="584" t="s">
        <v>17</v>
      </c>
      <c r="F31" s="584" t="s">
        <v>219</v>
      </c>
      <c r="G31" s="584"/>
      <c r="H31" s="584"/>
      <c r="I31" s="585">
        <v>1</v>
      </c>
      <c r="J31" s="584">
        <v>4</v>
      </c>
      <c r="K31" s="584" t="s">
        <v>12</v>
      </c>
      <c r="L31" s="584"/>
      <c r="M31" s="584"/>
      <c r="N31" s="586"/>
      <c r="O31" s="585"/>
      <c r="P31" s="587"/>
      <c r="Q31" s="587">
        <v>3</v>
      </c>
      <c r="R31" s="587"/>
      <c r="S31" s="587">
        <f t="shared" si="7"/>
        <v>0</v>
      </c>
      <c r="T31" s="586">
        <v>2</v>
      </c>
      <c r="U31" s="586">
        <v>10</v>
      </c>
      <c r="V31" s="586">
        <v>2</v>
      </c>
      <c r="W31" s="586">
        <v>10</v>
      </c>
      <c r="X31" s="586">
        <v>10</v>
      </c>
      <c r="Y31" s="586">
        <v>12</v>
      </c>
      <c r="Z31" s="586"/>
      <c r="AA31" s="586"/>
      <c r="AB31" s="586"/>
      <c r="AC31" s="588">
        <f t="shared" si="1"/>
        <v>51.34400000000001</v>
      </c>
      <c r="AD31" s="589">
        <f t="shared" si="8"/>
        <v>8</v>
      </c>
      <c r="AE31" s="586">
        <f t="shared" si="8"/>
        <v>8</v>
      </c>
      <c r="AF31" s="586">
        <f t="shared" si="3"/>
        <v>2</v>
      </c>
      <c r="AG31" s="589">
        <f t="shared" si="4"/>
        <v>18</v>
      </c>
      <c r="AH31" s="590">
        <f t="shared" si="5"/>
        <v>60.58592000000001</v>
      </c>
    </row>
    <row r="32" spans="1:34" s="591" customFormat="1" ht="24.75" thickBot="1">
      <c r="A32" s="581"/>
      <c r="B32" s="582"/>
      <c r="C32" s="583"/>
      <c r="D32" s="583"/>
      <c r="E32" s="584" t="s">
        <v>17</v>
      </c>
      <c r="F32" s="584" t="s">
        <v>221</v>
      </c>
      <c r="G32" s="584"/>
      <c r="H32" s="584"/>
      <c r="I32" s="585">
        <v>1</v>
      </c>
      <c r="J32" s="584">
        <v>4</v>
      </c>
      <c r="K32" s="584" t="s">
        <v>12</v>
      </c>
      <c r="L32" s="584"/>
      <c r="M32" s="584"/>
      <c r="N32" s="586"/>
      <c r="O32" s="585"/>
      <c r="P32" s="587"/>
      <c r="Q32" s="587">
        <v>3</v>
      </c>
      <c r="R32" s="587"/>
      <c r="S32" s="587">
        <f t="shared" si="7"/>
        <v>0</v>
      </c>
      <c r="T32" s="586">
        <v>2</v>
      </c>
      <c r="U32" s="586">
        <v>10</v>
      </c>
      <c r="V32" s="586">
        <v>2</v>
      </c>
      <c r="W32" s="586">
        <v>10</v>
      </c>
      <c r="X32" s="586">
        <v>10</v>
      </c>
      <c r="Y32" s="586">
        <v>12</v>
      </c>
      <c r="Z32" s="586"/>
      <c r="AA32" s="586"/>
      <c r="AB32" s="586"/>
      <c r="AC32" s="588">
        <f t="shared" si="1"/>
        <v>51.34400000000001</v>
      </c>
      <c r="AD32" s="589">
        <f t="shared" si="8"/>
        <v>8</v>
      </c>
      <c r="AE32" s="586">
        <f t="shared" si="8"/>
        <v>8</v>
      </c>
      <c r="AF32" s="586">
        <f t="shared" si="3"/>
        <v>2</v>
      </c>
      <c r="AG32" s="589">
        <f t="shared" si="4"/>
        <v>18</v>
      </c>
      <c r="AH32" s="590">
        <f t="shared" si="5"/>
        <v>60.58592000000001</v>
      </c>
    </row>
    <row r="33" spans="1:34" ht="30">
      <c r="A33" s="173"/>
      <c r="B33" s="170" t="s">
        <v>160</v>
      </c>
      <c r="C33" s="171">
        <f>SUM(AC34:AC44)</f>
        <v>2453.8240000000005</v>
      </c>
      <c r="D33" s="172">
        <f>SUM(AH34:AH44)</f>
        <v>3188.942719999999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80"/>
      <c r="AE33" s="80"/>
      <c r="AF33" s="80"/>
      <c r="AG33" s="80"/>
      <c r="AH33" s="138"/>
    </row>
    <row r="34" spans="1:34" ht="24">
      <c r="A34" s="173"/>
      <c r="B34" s="174"/>
      <c r="D34" s="164" t="s">
        <v>5</v>
      </c>
      <c r="E34" s="1" t="s">
        <v>18</v>
      </c>
      <c r="I34" s="8">
        <v>1</v>
      </c>
      <c r="Q34" s="2">
        <f>P34*N34</f>
        <v>0</v>
      </c>
      <c r="S34" s="2">
        <f aca="true" t="shared" si="9" ref="S34:S44">P34*R34</f>
        <v>0</v>
      </c>
      <c r="T34" s="3">
        <v>30</v>
      </c>
      <c r="U34" s="3">
        <v>60</v>
      </c>
      <c r="V34" s="3">
        <v>30</v>
      </c>
      <c r="W34" s="3">
        <v>30</v>
      </c>
      <c r="X34" s="3">
        <v>40</v>
      </c>
      <c r="Z34" s="3">
        <v>10</v>
      </c>
      <c r="AA34" s="3">
        <v>20</v>
      </c>
      <c r="AB34" s="3">
        <v>20</v>
      </c>
      <c r="AC34" s="74">
        <f aca="true" t="shared" si="10" ref="AC34:AC44">((Q34+Y34)*GA+(T34+V34+Z34)*EEEM+(W34+AA34)*EESM+(U34*DM)+(X34+AB34)*EETB)*I34</f>
        <v>243.28000000000003</v>
      </c>
      <c r="AD34" s="18">
        <f>4*2</f>
        <v>8</v>
      </c>
      <c r="AE34" s="3">
        <f>4*2</f>
        <v>8</v>
      </c>
      <c r="AF34" s="3">
        <f aca="true" t="shared" si="11" ref="AF34:AF48">2*1</f>
        <v>2</v>
      </c>
      <c r="AG34" s="23">
        <f aca="true" t="shared" si="12" ref="AG34:AG44">IF(AC34=0,"",AD34+AE34+AF34)</f>
        <v>18</v>
      </c>
      <c r="AH34" s="139">
        <f aca="true" t="shared" si="13" ref="AH34:AH44">IF(AG34="",0,AC34*(1+AG34/100))</f>
        <v>287.0704</v>
      </c>
    </row>
    <row r="35" spans="1:34" s="61" customFormat="1" ht="24.75" thickBot="1">
      <c r="A35" s="184"/>
      <c r="B35" s="176"/>
      <c r="C35" s="177"/>
      <c r="D35" s="177"/>
      <c r="E35" s="109"/>
      <c r="F35" s="109" t="s">
        <v>208</v>
      </c>
      <c r="G35" s="109"/>
      <c r="H35" s="109"/>
      <c r="I35" s="110">
        <v>1</v>
      </c>
      <c r="J35" s="109"/>
      <c r="K35" s="109"/>
      <c r="L35" s="109"/>
      <c r="M35" s="109"/>
      <c r="N35" s="111">
        <v>1</v>
      </c>
      <c r="O35" s="110" t="s">
        <v>50</v>
      </c>
      <c r="P35" s="112"/>
      <c r="Q35" s="112"/>
      <c r="R35" s="112"/>
      <c r="S35" s="112">
        <f t="shared" si="9"/>
        <v>0</v>
      </c>
      <c r="T35" s="111"/>
      <c r="U35" s="111"/>
      <c r="V35" s="111"/>
      <c r="W35" s="111"/>
      <c r="X35" s="111"/>
      <c r="Y35" s="111">
        <v>60</v>
      </c>
      <c r="Z35" s="111"/>
      <c r="AA35" s="111"/>
      <c r="AB35" s="111"/>
      <c r="AC35" s="74">
        <f t="shared" si="10"/>
        <v>76.8</v>
      </c>
      <c r="AD35" s="113">
        <f>4*2</f>
        <v>8</v>
      </c>
      <c r="AE35" s="111">
        <v>20</v>
      </c>
      <c r="AF35" s="111">
        <f t="shared" si="11"/>
        <v>2</v>
      </c>
      <c r="AG35" s="114">
        <f t="shared" si="12"/>
        <v>30</v>
      </c>
      <c r="AH35" s="150">
        <f t="shared" si="13"/>
        <v>99.84</v>
      </c>
    </row>
    <row r="36" spans="1:34" s="61" customFormat="1" ht="15.75" thickBot="1">
      <c r="A36" s="184"/>
      <c r="B36" s="176"/>
      <c r="C36" s="177"/>
      <c r="D36" s="177"/>
      <c r="E36" s="109"/>
      <c r="F36" s="109" t="s">
        <v>215</v>
      </c>
      <c r="G36" s="109"/>
      <c r="H36" s="109"/>
      <c r="I36" s="110">
        <v>1</v>
      </c>
      <c r="J36" s="109"/>
      <c r="K36" s="109"/>
      <c r="L36" s="109"/>
      <c r="M36" s="109"/>
      <c r="N36" s="111">
        <v>1</v>
      </c>
      <c r="O36" s="110" t="s">
        <v>50</v>
      </c>
      <c r="P36" s="112"/>
      <c r="Q36" s="112">
        <v>2</v>
      </c>
      <c r="R36" s="112"/>
      <c r="S36" s="112">
        <f>P36*R36</f>
        <v>0</v>
      </c>
      <c r="T36" s="111">
        <v>3</v>
      </c>
      <c r="U36" s="111">
        <v>5</v>
      </c>
      <c r="V36" s="111">
        <v>6</v>
      </c>
      <c r="W36" s="111">
        <v>4</v>
      </c>
      <c r="X36" s="111">
        <v>5</v>
      </c>
      <c r="Y36" s="111">
        <v>5</v>
      </c>
      <c r="Z36" s="111">
        <v>2</v>
      </c>
      <c r="AA36" s="111">
        <v>2</v>
      </c>
      <c r="AB36" s="111">
        <v>2</v>
      </c>
      <c r="AC36" s="74">
        <f t="shared" si="10"/>
        <v>39.472</v>
      </c>
      <c r="AD36" s="113">
        <f>4*2</f>
        <v>8</v>
      </c>
      <c r="AE36" s="111">
        <v>20</v>
      </c>
      <c r="AF36" s="111">
        <f t="shared" si="11"/>
        <v>2</v>
      </c>
      <c r="AG36" s="114">
        <f>IF(AC36=0,"",AD36+AE36+AF36)</f>
        <v>30</v>
      </c>
      <c r="AH36" s="150">
        <f>IF(AG36="",0,AC36*(1+AG36/100))</f>
        <v>51.3136</v>
      </c>
    </row>
    <row r="37" spans="1:34" s="61" customFormat="1" ht="15.75" thickBot="1">
      <c r="A37" s="184"/>
      <c r="B37" s="176"/>
      <c r="C37" s="177"/>
      <c r="D37" s="177"/>
      <c r="E37" s="109"/>
      <c r="F37" s="109" t="s">
        <v>118</v>
      </c>
      <c r="G37" s="109"/>
      <c r="H37" s="109"/>
      <c r="I37" s="110">
        <v>1</v>
      </c>
      <c r="J37" s="109"/>
      <c r="K37" s="109"/>
      <c r="L37" s="109"/>
      <c r="M37" s="109"/>
      <c r="N37" s="111">
        <v>1</v>
      </c>
      <c r="O37" s="110" t="s">
        <v>50</v>
      </c>
      <c r="P37" s="112"/>
      <c r="Q37" s="112"/>
      <c r="R37" s="112"/>
      <c r="S37" s="112">
        <f t="shared" si="9"/>
        <v>0</v>
      </c>
      <c r="T37" s="111"/>
      <c r="U37" s="111"/>
      <c r="V37" s="111"/>
      <c r="W37" s="111"/>
      <c r="X37" s="111"/>
      <c r="Y37" s="111">
        <v>650</v>
      </c>
      <c r="Z37" s="111">
        <v>2</v>
      </c>
      <c r="AA37" s="111">
        <v>2</v>
      </c>
      <c r="AB37" s="111">
        <v>2</v>
      </c>
      <c r="AC37" s="74">
        <f t="shared" si="10"/>
        <v>838.192</v>
      </c>
      <c r="AD37" s="113">
        <v>8</v>
      </c>
      <c r="AE37" s="111">
        <v>30</v>
      </c>
      <c r="AF37" s="111">
        <f t="shared" si="11"/>
        <v>2</v>
      </c>
      <c r="AG37" s="114">
        <v>40</v>
      </c>
      <c r="AH37" s="150">
        <f t="shared" si="13"/>
        <v>1173.4687999999999</v>
      </c>
    </row>
    <row r="38" spans="1:34" s="61" customFormat="1" ht="24.75" thickBot="1">
      <c r="A38" s="184"/>
      <c r="B38" s="176"/>
      <c r="C38" s="177"/>
      <c r="D38" s="177"/>
      <c r="E38" s="109"/>
      <c r="F38" s="109" t="s">
        <v>222</v>
      </c>
      <c r="G38" s="109"/>
      <c r="H38" s="109"/>
      <c r="I38" s="110">
        <v>1</v>
      </c>
      <c r="J38" s="109"/>
      <c r="K38" s="109"/>
      <c r="L38" s="109"/>
      <c r="M38" s="109"/>
      <c r="N38" s="111">
        <v>1</v>
      </c>
      <c r="O38" s="110" t="s">
        <v>50</v>
      </c>
      <c r="P38" s="112"/>
      <c r="Q38" s="112"/>
      <c r="R38" s="112"/>
      <c r="S38" s="112">
        <f>P38*R38</f>
        <v>0</v>
      </c>
      <c r="T38" s="111"/>
      <c r="U38" s="111"/>
      <c r="V38" s="111"/>
      <c r="W38" s="111"/>
      <c r="X38" s="111"/>
      <c r="Y38" s="111">
        <v>260</v>
      </c>
      <c r="Z38" s="111"/>
      <c r="AA38" s="111"/>
      <c r="AB38" s="111"/>
      <c r="AC38" s="74">
        <f t="shared" si="10"/>
        <v>332.8</v>
      </c>
      <c r="AD38" s="113">
        <v>8</v>
      </c>
      <c r="AE38" s="111">
        <v>30</v>
      </c>
      <c r="AF38" s="111">
        <f t="shared" si="11"/>
        <v>2</v>
      </c>
      <c r="AG38" s="114">
        <v>40</v>
      </c>
      <c r="AH38" s="150">
        <f>IF(AG38="",0,AC38*(1+AG38/100))</f>
        <v>465.91999999999996</v>
      </c>
    </row>
    <row r="39" spans="1:34" s="591" customFormat="1" ht="24">
      <c r="A39" s="581"/>
      <c r="B39" s="582"/>
      <c r="C39" s="583"/>
      <c r="D39" s="583"/>
      <c r="E39" s="584" t="s">
        <v>17</v>
      </c>
      <c r="F39" s="584" t="s">
        <v>117</v>
      </c>
      <c r="G39" s="592"/>
      <c r="H39" s="592"/>
      <c r="I39" s="585">
        <v>1</v>
      </c>
      <c r="J39" s="584">
        <v>7</v>
      </c>
      <c r="K39" s="584" t="s">
        <v>207</v>
      </c>
      <c r="L39" s="584">
        <v>620</v>
      </c>
      <c r="M39" s="584" t="s">
        <v>11</v>
      </c>
      <c r="N39" s="586">
        <f>J39*L39</f>
        <v>4340</v>
      </c>
      <c r="O39" s="585" t="s">
        <v>103</v>
      </c>
      <c r="P39" s="587">
        <v>0.05</v>
      </c>
      <c r="Q39" s="587">
        <f>P39*N39</f>
        <v>217</v>
      </c>
      <c r="R39" s="587"/>
      <c r="S39" s="587">
        <f t="shared" si="9"/>
        <v>0</v>
      </c>
      <c r="T39" s="586">
        <v>5</v>
      </c>
      <c r="U39" s="586">
        <v>10</v>
      </c>
      <c r="V39" s="586"/>
      <c r="W39" s="586"/>
      <c r="X39" s="586"/>
      <c r="Y39" s="586"/>
      <c r="Z39" s="586"/>
      <c r="AA39" s="586"/>
      <c r="AB39" s="586"/>
      <c r="AC39" s="588">
        <f t="shared" si="10"/>
        <v>293.64</v>
      </c>
      <c r="AD39" s="589">
        <f>4*2</f>
        <v>8</v>
      </c>
      <c r="AE39" s="586">
        <f>4*2</f>
        <v>8</v>
      </c>
      <c r="AF39" s="586">
        <f t="shared" si="11"/>
        <v>2</v>
      </c>
      <c r="AG39" s="589">
        <f t="shared" si="12"/>
        <v>18</v>
      </c>
      <c r="AH39" s="593">
        <f t="shared" si="13"/>
        <v>346.49519999999995</v>
      </c>
    </row>
    <row r="40" spans="1:34" s="591" customFormat="1" ht="15">
      <c r="A40" s="581"/>
      <c r="B40" s="582"/>
      <c r="C40" s="583"/>
      <c r="D40" s="583"/>
      <c r="E40" s="584"/>
      <c r="F40" s="584" t="s">
        <v>209</v>
      </c>
      <c r="G40" s="584"/>
      <c r="H40" s="584"/>
      <c r="I40" s="585">
        <v>1</v>
      </c>
      <c r="J40" s="584">
        <v>7</v>
      </c>
      <c r="K40" s="584" t="s">
        <v>207</v>
      </c>
      <c r="L40" s="584">
        <v>620</v>
      </c>
      <c r="M40" s="584" t="s">
        <v>11</v>
      </c>
      <c r="N40" s="586">
        <f>J40*L40</f>
        <v>4340</v>
      </c>
      <c r="O40" s="585" t="s">
        <v>103</v>
      </c>
      <c r="P40" s="587"/>
      <c r="Q40" s="587">
        <v>10</v>
      </c>
      <c r="R40" s="587"/>
      <c r="S40" s="587">
        <f>P40*R40</f>
        <v>0</v>
      </c>
      <c r="T40" s="586">
        <v>5</v>
      </c>
      <c r="U40" s="586">
        <v>20</v>
      </c>
      <c r="V40" s="586">
        <v>10</v>
      </c>
      <c r="W40" s="586">
        <v>30</v>
      </c>
      <c r="X40" s="586">
        <v>40</v>
      </c>
      <c r="Y40" s="586">
        <v>120</v>
      </c>
      <c r="Z40" s="586">
        <v>10</v>
      </c>
      <c r="AA40" s="586">
        <v>8</v>
      </c>
      <c r="AB40" s="586">
        <v>16</v>
      </c>
      <c r="AC40" s="588">
        <f t="shared" si="10"/>
        <v>296.888</v>
      </c>
      <c r="AD40" s="589">
        <f>4*2</f>
        <v>8</v>
      </c>
      <c r="AE40" s="586">
        <f>4*3</f>
        <v>12</v>
      </c>
      <c r="AF40" s="586">
        <f t="shared" si="11"/>
        <v>2</v>
      </c>
      <c r="AG40" s="589">
        <f>IF(AC40=0,"",AD40+AE40+AF40)</f>
        <v>22</v>
      </c>
      <c r="AH40" s="593">
        <f>IF(AG40="",0,AC40*(1+AG40/100))</f>
        <v>362.20336</v>
      </c>
    </row>
    <row r="41" spans="1:34" s="591" customFormat="1" ht="48">
      <c r="A41" s="581"/>
      <c r="B41" s="582"/>
      <c r="C41" s="583"/>
      <c r="D41" s="583"/>
      <c r="E41" s="584"/>
      <c r="F41" s="584" t="s">
        <v>211</v>
      </c>
      <c r="G41" s="584"/>
      <c r="H41" s="584"/>
      <c r="I41" s="585">
        <v>1</v>
      </c>
      <c r="J41" s="584">
        <v>7</v>
      </c>
      <c r="K41" s="584" t="s">
        <v>207</v>
      </c>
      <c r="L41" s="584">
        <v>100</v>
      </c>
      <c r="M41" s="584" t="s">
        <v>11</v>
      </c>
      <c r="N41" s="586">
        <f>J41*L41</f>
        <v>700</v>
      </c>
      <c r="O41" s="585" t="s">
        <v>103</v>
      </c>
      <c r="P41" s="587">
        <v>0.025</v>
      </c>
      <c r="Q41" s="587">
        <f>P41*N41</f>
        <v>17.5</v>
      </c>
      <c r="R41" s="587"/>
      <c r="S41" s="587">
        <f>P41*R41</f>
        <v>0</v>
      </c>
      <c r="T41" s="586"/>
      <c r="U41" s="586"/>
      <c r="V41" s="586"/>
      <c r="W41" s="586"/>
      <c r="X41" s="586"/>
      <c r="Y41" s="586">
        <v>80</v>
      </c>
      <c r="Z41" s="586"/>
      <c r="AA41" s="586"/>
      <c r="AB41" s="586"/>
      <c r="AC41" s="588">
        <f t="shared" si="10"/>
        <v>124.8</v>
      </c>
      <c r="AD41" s="589">
        <f>4*2</f>
        <v>8</v>
      </c>
      <c r="AE41" s="586">
        <f>4*3</f>
        <v>12</v>
      </c>
      <c r="AF41" s="586">
        <f t="shared" si="11"/>
        <v>2</v>
      </c>
      <c r="AG41" s="589">
        <f>IF(AC41=0,"",AD41+AE41+AF41)</f>
        <v>22</v>
      </c>
      <c r="AH41" s="593">
        <f>IF(AG41="",0,AC41*(1+AG41/100))</f>
        <v>152.256</v>
      </c>
    </row>
    <row r="42" spans="1:34" s="591" customFormat="1" ht="36">
      <c r="A42" s="581"/>
      <c r="B42" s="582"/>
      <c r="C42" s="583"/>
      <c r="D42" s="583"/>
      <c r="E42" s="584"/>
      <c r="F42" s="584" t="s">
        <v>212</v>
      </c>
      <c r="G42" s="584"/>
      <c r="H42" s="584"/>
      <c r="I42" s="585">
        <v>1</v>
      </c>
      <c r="J42" s="584">
        <v>7</v>
      </c>
      <c r="K42" s="584" t="s">
        <v>207</v>
      </c>
      <c r="L42" s="584">
        <v>100</v>
      </c>
      <c r="M42" s="584" t="s">
        <v>11</v>
      </c>
      <c r="N42" s="586">
        <f>J42*L42</f>
        <v>700</v>
      </c>
      <c r="O42" s="585" t="s">
        <v>103</v>
      </c>
      <c r="P42" s="587">
        <v>0.025</v>
      </c>
      <c r="Q42" s="587">
        <f>P42*N42</f>
        <v>17.5</v>
      </c>
      <c r="R42" s="587"/>
      <c r="S42" s="587">
        <f t="shared" si="9"/>
        <v>0</v>
      </c>
      <c r="T42" s="586"/>
      <c r="U42" s="586"/>
      <c r="V42" s="586"/>
      <c r="W42" s="586"/>
      <c r="X42" s="586"/>
      <c r="Y42" s="586">
        <v>80</v>
      </c>
      <c r="Z42" s="586"/>
      <c r="AA42" s="586"/>
      <c r="AB42" s="586"/>
      <c r="AC42" s="588">
        <f t="shared" si="10"/>
        <v>124.8</v>
      </c>
      <c r="AD42" s="589">
        <f>4*2</f>
        <v>8</v>
      </c>
      <c r="AE42" s="586">
        <f>4*3</f>
        <v>12</v>
      </c>
      <c r="AF42" s="586">
        <f t="shared" si="11"/>
        <v>2</v>
      </c>
      <c r="AG42" s="589">
        <f t="shared" si="12"/>
        <v>22</v>
      </c>
      <c r="AH42" s="593">
        <f t="shared" si="13"/>
        <v>152.256</v>
      </c>
    </row>
    <row r="43" spans="1:34" ht="15">
      <c r="A43" s="173"/>
      <c r="B43" s="174"/>
      <c r="F43" s="1" t="s">
        <v>8</v>
      </c>
      <c r="I43" s="8">
        <v>1</v>
      </c>
      <c r="N43" s="3">
        <v>600</v>
      </c>
      <c r="O43" s="8" t="s">
        <v>103</v>
      </c>
      <c r="P43" s="2">
        <v>0.05</v>
      </c>
      <c r="Q43" s="2">
        <f>P43*N43</f>
        <v>30</v>
      </c>
      <c r="S43" s="2">
        <f t="shared" si="9"/>
        <v>0</v>
      </c>
      <c r="T43" s="3">
        <v>2</v>
      </c>
      <c r="U43" s="3">
        <v>4</v>
      </c>
      <c r="AC43" s="74">
        <f t="shared" si="10"/>
        <v>44.751999999999995</v>
      </c>
      <c r="AD43" s="18">
        <f>4*2</f>
        <v>8</v>
      </c>
      <c r="AE43" s="3">
        <f>4*2</f>
        <v>8</v>
      </c>
      <c r="AF43" s="3">
        <f t="shared" si="11"/>
        <v>2</v>
      </c>
      <c r="AG43" s="23">
        <f t="shared" si="12"/>
        <v>18</v>
      </c>
      <c r="AH43" s="139">
        <f t="shared" si="13"/>
        <v>52.80735999999999</v>
      </c>
    </row>
    <row r="44" spans="1:34" ht="15.75" thickBot="1">
      <c r="A44" s="173"/>
      <c r="B44" s="174"/>
      <c r="F44" s="1" t="s">
        <v>16</v>
      </c>
      <c r="I44" s="8">
        <v>1</v>
      </c>
      <c r="N44" s="3">
        <v>600</v>
      </c>
      <c r="O44" s="8" t="s">
        <v>103</v>
      </c>
      <c r="P44" s="2">
        <v>0.05</v>
      </c>
      <c r="Q44" s="2">
        <f>P44*N44</f>
        <v>30</v>
      </c>
      <c r="S44" s="2">
        <f t="shared" si="9"/>
        <v>0</v>
      </c>
      <c r="AC44" s="74">
        <f t="shared" si="10"/>
        <v>38.4</v>
      </c>
      <c r="AD44" s="18">
        <f>4*2</f>
        <v>8</v>
      </c>
      <c r="AE44" s="3">
        <f>4*2</f>
        <v>8</v>
      </c>
      <c r="AF44" s="3">
        <f t="shared" si="11"/>
        <v>2</v>
      </c>
      <c r="AG44" s="23">
        <f t="shared" si="12"/>
        <v>18</v>
      </c>
      <c r="AH44" s="139">
        <f t="shared" si="13"/>
        <v>45.312</v>
      </c>
    </row>
    <row r="45" spans="1:34" ht="30">
      <c r="A45" s="173"/>
      <c r="B45" s="170" t="s">
        <v>161</v>
      </c>
      <c r="C45" s="171">
        <f>SUM(AC46:AC55)</f>
        <v>833.352</v>
      </c>
      <c r="D45" s="172">
        <f>SUM(AH46:AH55)</f>
        <v>987.56656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80"/>
      <c r="AE45" s="80"/>
      <c r="AF45" s="80"/>
      <c r="AG45" s="80"/>
      <c r="AH45" s="138"/>
    </row>
    <row r="46" spans="1:34" ht="24">
      <c r="A46" s="173"/>
      <c r="B46" s="174"/>
      <c r="D46" s="164" t="s">
        <v>5</v>
      </c>
      <c r="E46" s="1" t="s">
        <v>18</v>
      </c>
      <c r="G46" s="38"/>
      <c r="H46" s="38"/>
      <c r="I46" s="8">
        <v>1</v>
      </c>
      <c r="Q46" s="2">
        <f>P46*N46</f>
        <v>0</v>
      </c>
      <c r="S46" s="2">
        <f aca="true" t="shared" si="14" ref="S46:S55">P46*R46</f>
        <v>0</v>
      </c>
      <c r="T46" s="3">
        <v>15</v>
      </c>
      <c r="U46" s="3">
        <v>50</v>
      </c>
      <c r="V46" s="3">
        <v>15</v>
      </c>
      <c r="W46" s="3">
        <v>15</v>
      </c>
      <c r="X46" s="3">
        <v>15</v>
      </c>
      <c r="Z46" s="3">
        <v>10</v>
      </c>
      <c r="AA46" s="3">
        <v>10</v>
      </c>
      <c r="AB46" s="3">
        <v>20</v>
      </c>
      <c r="AC46" s="74">
        <f aca="true" t="shared" si="15" ref="AC46:AC55">((Q46+Y46)*GA+(T46+V46+Z46)*EEEM+(W46+AA46)*EESM+(U46*DM)+(X46+AB46)*EETB)*I46</f>
        <v>150</v>
      </c>
      <c r="AD46" s="18">
        <f aca="true" t="shared" si="16" ref="AD46:AE50">4*2</f>
        <v>8</v>
      </c>
      <c r="AE46" s="3">
        <f t="shared" si="16"/>
        <v>8</v>
      </c>
      <c r="AF46" s="3">
        <f aca="true" t="shared" si="17" ref="AF46:AF82">2*1</f>
        <v>2</v>
      </c>
      <c r="AG46" s="23">
        <f aca="true" t="shared" si="18" ref="AG46:AG55">IF(AC46=0,"",AD46+AE46+AF46)</f>
        <v>18</v>
      </c>
      <c r="AH46" s="139">
        <f aca="true" t="shared" si="19" ref="AH46:AH55">IF(AG46="",0,AC46*(1+AG46/100))</f>
        <v>177</v>
      </c>
    </row>
    <row r="47" spans="1:34" s="602" customFormat="1" ht="24">
      <c r="A47" s="594"/>
      <c r="B47" s="595"/>
      <c r="C47" s="596"/>
      <c r="D47" s="596"/>
      <c r="E47" s="597" t="s">
        <v>17</v>
      </c>
      <c r="F47" s="597" t="s">
        <v>100</v>
      </c>
      <c r="G47" s="597"/>
      <c r="H47" s="597"/>
      <c r="I47" s="598">
        <v>1</v>
      </c>
      <c r="J47" s="597">
        <v>7</v>
      </c>
      <c r="K47" s="597" t="s">
        <v>9</v>
      </c>
      <c r="L47" s="597">
        <v>100</v>
      </c>
      <c r="M47" s="597" t="s">
        <v>10</v>
      </c>
      <c r="N47" s="588">
        <f>J47*L47</f>
        <v>700</v>
      </c>
      <c r="O47" s="598" t="s">
        <v>103</v>
      </c>
      <c r="P47" s="599">
        <v>0.025</v>
      </c>
      <c r="Q47" s="599">
        <f>P47*N47</f>
        <v>17.5</v>
      </c>
      <c r="R47" s="599"/>
      <c r="S47" s="599">
        <f t="shared" si="14"/>
        <v>0</v>
      </c>
      <c r="T47" s="588">
        <v>5</v>
      </c>
      <c r="U47" s="588"/>
      <c r="V47" s="588"/>
      <c r="W47" s="588"/>
      <c r="X47" s="588"/>
      <c r="Y47" s="588"/>
      <c r="Z47" s="588"/>
      <c r="AA47" s="588"/>
      <c r="AB47" s="588"/>
      <c r="AC47" s="588">
        <f t="shared" si="15"/>
        <v>29.080000000000002</v>
      </c>
      <c r="AD47" s="600">
        <f t="shared" si="16"/>
        <v>8</v>
      </c>
      <c r="AE47" s="588">
        <f t="shared" si="16"/>
        <v>8</v>
      </c>
      <c r="AF47" s="588">
        <f t="shared" si="17"/>
        <v>2</v>
      </c>
      <c r="AG47" s="600">
        <f t="shared" si="18"/>
        <v>18</v>
      </c>
      <c r="AH47" s="601">
        <f t="shared" si="19"/>
        <v>34.3144</v>
      </c>
    </row>
    <row r="48" spans="1:34" s="591" customFormat="1" ht="36">
      <c r="A48" s="581"/>
      <c r="B48" s="582"/>
      <c r="C48" s="583"/>
      <c r="D48" s="583"/>
      <c r="E48" s="584"/>
      <c r="F48" s="584" t="s">
        <v>210</v>
      </c>
      <c r="G48" s="584"/>
      <c r="H48" s="584"/>
      <c r="I48" s="585">
        <v>1</v>
      </c>
      <c r="J48" s="584">
        <v>7</v>
      </c>
      <c r="K48" s="584" t="s">
        <v>207</v>
      </c>
      <c r="L48" s="584">
        <v>70</v>
      </c>
      <c r="M48" s="584" t="s">
        <v>11</v>
      </c>
      <c r="N48" s="586">
        <f>J48*L48</f>
        <v>490</v>
      </c>
      <c r="O48" s="585" t="s">
        <v>103</v>
      </c>
      <c r="P48" s="587">
        <v>0.025</v>
      </c>
      <c r="Q48" s="587">
        <f>P48*N48</f>
        <v>12.25</v>
      </c>
      <c r="R48" s="587"/>
      <c r="S48" s="587">
        <f t="shared" si="14"/>
        <v>0</v>
      </c>
      <c r="T48" s="586"/>
      <c r="U48" s="586"/>
      <c r="V48" s="586"/>
      <c r="W48" s="586"/>
      <c r="X48" s="586"/>
      <c r="Y48" s="586">
        <v>70</v>
      </c>
      <c r="Z48" s="586"/>
      <c r="AA48" s="586"/>
      <c r="AB48" s="586"/>
      <c r="AC48" s="588">
        <f t="shared" si="15"/>
        <v>105.28</v>
      </c>
      <c r="AD48" s="589">
        <f>4*2</f>
        <v>8</v>
      </c>
      <c r="AE48" s="586">
        <f>4*3</f>
        <v>12</v>
      </c>
      <c r="AF48" s="586">
        <f t="shared" si="11"/>
        <v>2</v>
      </c>
      <c r="AG48" s="589">
        <f t="shared" si="18"/>
        <v>22</v>
      </c>
      <c r="AH48" s="593">
        <f t="shared" si="19"/>
        <v>128.4416</v>
      </c>
    </row>
    <row r="49" spans="1:34" ht="15">
      <c r="A49" s="173"/>
      <c r="B49" s="174"/>
      <c r="F49" s="1" t="s">
        <v>8</v>
      </c>
      <c r="I49" s="8">
        <v>1</v>
      </c>
      <c r="N49" s="3">
        <v>200</v>
      </c>
      <c r="O49" s="8" t="s">
        <v>103</v>
      </c>
      <c r="P49" s="2">
        <v>0.05</v>
      </c>
      <c r="Q49" s="2">
        <f>P49*N49</f>
        <v>10</v>
      </c>
      <c r="S49" s="2">
        <f t="shared" si="14"/>
        <v>0</v>
      </c>
      <c r="T49" s="3">
        <v>2</v>
      </c>
      <c r="U49" s="3">
        <v>4</v>
      </c>
      <c r="AC49" s="74">
        <f t="shared" si="15"/>
        <v>19.152</v>
      </c>
      <c r="AD49" s="18">
        <f t="shared" si="16"/>
        <v>8</v>
      </c>
      <c r="AE49" s="3">
        <f>4*2</f>
        <v>8</v>
      </c>
      <c r="AF49" s="3">
        <f t="shared" si="17"/>
        <v>2</v>
      </c>
      <c r="AG49" s="23">
        <f t="shared" si="18"/>
        <v>18</v>
      </c>
      <c r="AH49" s="139">
        <f t="shared" si="19"/>
        <v>22.59936</v>
      </c>
    </row>
    <row r="50" spans="1:34" ht="15">
      <c r="A50" s="173"/>
      <c r="B50" s="174"/>
      <c r="F50" s="1" t="s">
        <v>16</v>
      </c>
      <c r="I50" s="8">
        <v>1</v>
      </c>
      <c r="N50" s="3">
        <v>200</v>
      </c>
      <c r="O50" s="8" t="s">
        <v>103</v>
      </c>
      <c r="P50" s="2">
        <v>0.05</v>
      </c>
      <c r="Q50" s="2">
        <f>P50*N50</f>
        <v>10</v>
      </c>
      <c r="S50" s="2">
        <f t="shared" si="14"/>
        <v>0</v>
      </c>
      <c r="T50" s="3">
        <v>2</v>
      </c>
      <c r="U50" s="3">
        <v>4</v>
      </c>
      <c r="AC50" s="74">
        <f t="shared" si="15"/>
        <v>19.152</v>
      </c>
      <c r="AD50" s="18">
        <f t="shared" si="16"/>
        <v>8</v>
      </c>
      <c r="AE50" s="3">
        <f>4*2</f>
        <v>8</v>
      </c>
      <c r="AF50" s="3">
        <f t="shared" si="17"/>
        <v>2</v>
      </c>
      <c r="AG50" s="23">
        <f t="shared" si="18"/>
        <v>18</v>
      </c>
      <c r="AH50" s="139">
        <f t="shared" si="19"/>
        <v>22.59936</v>
      </c>
    </row>
    <row r="51" spans="1:34" s="42" customFormat="1" ht="30">
      <c r="A51" s="187"/>
      <c r="B51" s="188"/>
      <c r="C51" s="189"/>
      <c r="D51" s="189" t="s">
        <v>0</v>
      </c>
      <c r="E51" s="41" t="s">
        <v>2</v>
      </c>
      <c r="F51" s="41"/>
      <c r="G51" s="65"/>
      <c r="H51" s="65"/>
      <c r="I51" s="43">
        <v>1</v>
      </c>
      <c r="J51" s="41"/>
      <c r="K51" s="41"/>
      <c r="L51" s="41"/>
      <c r="M51" s="41"/>
      <c r="N51" s="44"/>
      <c r="O51" s="45"/>
      <c r="P51" s="46"/>
      <c r="Q51" s="46">
        <v>5</v>
      </c>
      <c r="R51" s="46"/>
      <c r="S51" s="46">
        <f t="shared" si="14"/>
        <v>0</v>
      </c>
      <c r="T51" s="44">
        <v>6</v>
      </c>
      <c r="U51" s="44">
        <v>12</v>
      </c>
      <c r="V51" s="44">
        <v>2</v>
      </c>
      <c r="W51" s="44">
        <v>5</v>
      </c>
      <c r="X51" s="44">
        <v>30</v>
      </c>
      <c r="Y51" s="44">
        <v>60</v>
      </c>
      <c r="Z51" s="44">
        <v>1</v>
      </c>
      <c r="AA51" s="44">
        <v>1</v>
      </c>
      <c r="AB51" s="44">
        <v>2</v>
      </c>
      <c r="AC51" s="74">
        <f t="shared" si="15"/>
        <v>133.88</v>
      </c>
      <c r="AD51" s="47">
        <f>4*2</f>
        <v>8</v>
      </c>
      <c r="AE51" s="44">
        <f>4*2</f>
        <v>8</v>
      </c>
      <c r="AF51" s="44">
        <f>2*1</f>
        <v>2</v>
      </c>
      <c r="AG51" s="47">
        <f t="shared" si="18"/>
        <v>18</v>
      </c>
      <c r="AH51" s="151">
        <f t="shared" si="19"/>
        <v>157.9784</v>
      </c>
    </row>
    <row r="52" spans="1:34" s="49" customFormat="1" ht="24">
      <c r="A52" s="458"/>
      <c r="B52" s="190"/>
      <c r="C52" s="191"/>
      <c r="D52" s="189" t="s">
        <v>1</v>
      </c>
      <c r="E52" s="48" t="s">
        <v>3</v>
      </c>
      <c r="F52" s="48"/>
      <c r="G52" s="65"/>
      <c r="H52" s="65"/>
      <c r="I52" s="43">
        <v>1</v>
      </c>
      <c r="J52" s="48"/>
      <c r="K52" s="48"/>
      <c r="L52" s="48"/>
      <c r="M52" s="48"/>
      <c r="N52" s="50"/>
      <c r="O52" s="43"/>
      <c r="P52" s="37"/>
      <c r="Q52" s="37">
        <v>5</v>
      </c>
      <c r="R52" s="37"/>
      <c r="S52" s="37">
        <f t="shared" si="14"/>
        <v>0</v>
      </c>
      <c r="T52" s="50">
        <v>6</v>
      </c>
      <c r="U52" s="50">
        <v>12</v>
      </c>
      <c r="V52" s="50">
        <v>2</v>
      </c>
      <c r="W52" s="50">
        <v>5</v>
      </c>
      <c r="X52" s="50">
        <v>30</v>
      </c>
      <c r="Y52" s="50">
        <v>65</v>
      </c>
      <c r="Z52" s="50">
        <v>1</v>
      </c>
      <c r="AA52" s="50">
        <v>1</v>
      </c>
      <c r="AB52" s="50">
        <v>2</v>
      </c>
      <c r="AC52" s="74">
        <f t="shared" si="15"/>
        <v>140.28</v>
      </c>
      <c r="AD52" s="51">
        <f>4*2</f>
        <v>8</v>
      </c>
      <c r="AE52" s="50">
        <f>4*2</f>
        <v>8</v>
      </c>
      <c r="AF52" s="50">
        <f>2*1</f>
        <v>2</v>
      </c>
      <c r="AG52" s="47">
        <f t="shared" si="18"/>
        <v>18</v>
      </c>
      <c r="AH52" s="151">
        <f t="shared" si="19"/>
        <v>165.5304</v>
      </c>
    </row>
    <row r="53" spans="1:34" s="602" customFormat="1" ht="24">
      <c r="A53" s="594"/>
      <c r="B53" s="595"/>
      <c r="C53" s="596"/>
      <c r="D53" s="596" t="s">
        <v>44</v>
      </c>
      <c r="E53" s="597" t="s">
        <v>119</v>
      </c>
      <c r="F53" s="597"/>
      <c r="G53" s="603"/>
      <c r="H53" s="603"/>
      <c r="I53" s="598">
        <v>1</v>
      </c>
      <c r="J53" s="597"/>
      <c r="K53" s="597"/>
      <c r="L53" s="597"/>
      <c r="M53" s="597"/>
      <c r="N53" s="588"/>
      <c r="O53" s="598"/>
      <c r="P53" s="599"/>
      <c r="Q53" s="599">
        <f>P53*N53</f>
        <v>0</v>
      </c>
      <c r="R53" s="599"/>
      <c r="S53" s="599">
        <f t="shared" si="14"/>
        <v>0</v>
      </c>
      <c r="T53" s="588">
        <v>5</v>
      </c>
      <c r="U53" s="588">
        <v>5</v>
      </c>
      <c r="V53" s="588"/>
      <c r="W53" s="588"/>
      <c r="X53" s="588"/>
      <c r="Y53" s="588"/>
      <c r="Z53" s="588"/>
      <c r="AA53" s="588"/>
      <c r="AB53" s="588"/>
      <c r="AC53" s="588">
        <f t="shared" si="15"/>
        <v>11.280000000000001</v>
      </c>
      <c r="AD53" s="600">
        <f aca="true" t="shared" si="20" ref="AD53:AE55">4*2</f>
        <v>8</v>
      </c>
      <c r="AE53" s="588">
        <f t="shared" si="20"/>
        <v>8</v>
      </c>
      <c r="AF53" s="588">
        <f t="shared" si="17"/>
        <v>2</v>
      </c>
      <c r="AG53" s="600">
        <f t="shared" si="18"/>
        <v>18</v>
      </c>
      <c r="AH53" s="601">
        <f t="shared" si="19"/>
        <v>13.310400000000001</v>
      </c>
    </row>
    <row r="54" spans="1:34" s="612" customFormat="1" ht="15">
      <c r="A54" s="594"/>
      <c r="B54" s="604"/>
      <c r="C54" s="605"/>
      <c r="D54" s="605"/>
      <c r="E54" s="606" t="s">
        <v>120</v>
      </c>
      <c r="F54" s="606"/>
      <c r="G54" s="606"/>
      <c r="H54" s="606"/>
      <c r="I54" s="607">
        <v>1</v>
      </c>
      <c r="J54" s="606"/>
      <c r="K54" s="606"/>
      <c r="L54" s="606"/>
      <c r="M54" s="606"/>
      <c r="N54" s="608">
        <v>5</v>
      </c>
      <c r="O54" s="607" t="s">
        <v>121</v>
      </c>
      <c r="P54" s="609">
        <v>19</v>
      </c>
      <c r="Q54" s="609">
        <f>P54*N54</f>
        <v>95</v>
      </c>
      <c r="R54" s="609"/>
      <c r="S54" s="609">
        <f t="shared" si="14"/>
        <v>0</v>
      </c>
      <c r="T54" s="608"/>
      <c r="U54" s="608"/>
      <c r="V54" s="608"/>
      <c r="W54" s="608"/>
      <c r="X54" s="608"/>
      <c r="Y54" s="608"/>
      <c r="Z54" s="608"/>
      <c r="AA54" s="608"/>
      <c r="AB54" s="608"/>
      <c r="AC54" s="588">
        <f t="shared" si="15"/>
        <v>121.60000000000001</v>
      </c>
      <c r="AD54" s="610">
        <f t="shared" si="20"/>
        <v>8</v>
      </c>
      <c r="AE54" s="608">
        <f>4*2</f>
        <v>8</v>
      </c>
      <c r="AF54" s="608">
        <f t="shared" si="17"/>
        <v>2</v>
      </c>
      <c r="AG54" s="610">
        <f t="shared" si="18"/>
        <v>18</v>
      </c>
      <c r="AH54" s="611">
        <f t="shared" si="19"/>
        <v>143.488</v>
      </c>
    </row>
    <row r="55" spans="1:34" s="602" customFormat="1" ht="15.75" thickBot="1">
      <c r="A55" s="613"/>
      <c r="B55" s="614"/>
      <c r="C55" s="615"/>
      <c r="D55" s="615"/>
      <c r="E55" s="616" t="s">
        <v>124</v>
      </c>
      <c r="F55" s="616"/>
      <c r="G55" s="616"/>
      <c r="H55" s="616"/>
      <c r="I55" s="617">
        <v>1</v>
      </c>
      <c r="J55" s="616"/>
      <c r="K55" s="616"/>
      <c r="L55" s="616"/>
      <c r="M55" s="616"/>
      <c r="N55" s="618"/>
      <c r="O55" s="617"/>
      <c r="P55" s="619"/>
      <c r="Q55" s="619">
        <v>2</v>
      </c>
      <c r="R55" s="619"/>
      <c r="S55" s="619">
        <f t="shared" si="14"/>
        <v>0</v>
      </c>
      <c r="T55" s="618"/>
      <c r="U55" s="618"/>
      <c r="V55" s="618">
        <v>5</v>
      </c>
      <c r="W55" s="618">
        <v>10</v>
      </c>
      <c r="X55" s="618">
        <v>10</v>
      </c>
      <c r="Y55" s="618">
        <v>50</v>
      </c>
      <c r="Z55" s="618">
        <v>3</v>
      </c>
      <c r="AA55" s="618">
        <v>5</v>
      </c>
      <c r="AB55" s="618">
        <v>5</v>
      </c>
      <c r="AC55" s="588">
        <f t="shared" si="15"/>
        <v>103.64800000000001</v>
      </c>
      <c r="AD55" s="620">
        <f t="shared" si="20"/>
        <v>8</v>
      </c>
      <c r="AE55" s="618">
        <f t="shared" si="20"/>
        <v>8</v>
      </c>
      <c r="AF55" s="618">
        <f t="shared" si="17"/>
        <v>2</v>
      </c>
      <c r="AG55" s="620">
        <f t="shared" si="18"/>
        <v>18</v>
      </c>
      <c r="AH55" s="621">
        <f t="shared" si="19"/>
        <v>122.30464</v>
      </c>
    </row>
    <row r="56" spans="1:194" s="21" customFormat="1" ht="46.5" thickBot="1" thickTop="1">
      <c r="A56" s="165" t="s">
        <v>153</v>
      </c>
      <c r="B56" s="166">
        <f>C57+C72+C74+C76+C80+C84</f>
        <v>1842.93504</v>
      </c>
      <c r="C56" s="167">
        <f>D57+D72+D74+D76+D80+D84</f>
        <v>2195.4057472</v>
      </c>
      <c r="D56" s="168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6"/>
      <c r="AD56" s="135"/>
      <c r="AE56" s="135"/>
      <c r="AF56" s="135"/>
      <c r="AG56" s="135"/>
      <c r="AH56" s="137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</row>
    <row r="57" spans="1:34" ht="30">
      <c r="A57" s="173"/>
      <c r="B57" s="170" t="s">
        <v>6</v>
      </c>
      <c r="C57" s="171">
        <f>SUM(AC58:AC71)</f>
        <v>611.0735999999999</v>
      </c>
      <c r="D57" s="172">
        <f>SUM(AH58:AH71)</f>
        <v>724.927968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1"/>
      <c r="AD57" s="80"/>
      <c r="AE57" s="80"/>
      <c r="AF57" s="80"/>
      <c r="AG57" s="80"/>
      <c r="AH57" s="138"/>
    </row>
    <row r="58" spans="1:34" ht="24">
      <c r="A58" s="173"/>
      <c r="B58" s="174"/>
      <c r="D58" s="164" t="s">
        <v>109</v>
      </c>
      <c r="E58" s="1" t="s">
        <v>92</v>
      </c>
      <c r="G58" s="38"/>
      <c r="H58" s="38"/>
      <c r="I58" s="8">
        <v>1</v>
      </c>
      <c r="Q58" s="2">
        <f aca="true" t="shared" si="21" ref="Q58:Q71">P58*N58</f>
        <v>0</v>
      </c>
      <c r="S58" s="2">
        <f aca="true" t="shared" si="22" ref="S58:S71">P58*R58</f>
        <v>0</v>
      </c>
      <c r="T58" s="3">
        <v>15</v>
      </c>
      <c r="U58" s="3">
        <v>25</v>
      </c>
      <c r="V58" s="3">
        <v>8</v>
      </c>
      <c r="W58" s="3">
        <v>15</v>
      </c>
      <c r="X58" s="3">
        <v>40</v>
      </c>
      <c r="AC58" s="74">
        <f aca="true" t="shared" si="23" ref="AC58:AC71">((Q58+Y58)*GA+(T58+V58+Z58)*EEEM+(W58+AA58)*EESM+(U58*DM)+(X58+AB58)*EETB)*I58</f>
        <v>96.52800000000002</v>
      </c>
      <c r="AD58" s="18">
        <f>4*3</f>
        <v>12</v>
      </c>
      <c r="AE58" s="3">
        <f>4*2</f>
        <v>8</v>
      </c>
      <c r="AF58" s="3">
        <f t="shared" si="17"/>
        <v>2</v>
      </c>
      <c r="AG58" s="23">
        <f aca="true" t="shared" si="24" ref="AG58:AG71">IF(AC58=0,"",AD58+AE58+AF58)</f>
        <v>22</v>
      </c>
      <c r="AH58" s="139">
        <f aca="true" t="shared" si="25" ref="AH58:AH71">IF(AG58="",0,AC58*(1+AG58/100))</f>
        <v>117.76416000000002</v>
      </c>
    </row>
    <row r="59" spans="1:34" ht="15">
      <c r="A59" s="173"/>
      <c r="B59" s="174"/>
      <c r="E59" s="1" t="s">
        <v>54</v>
      </c>
      <c r="F59" s="1" t="s">
        <v>80</v>
      </c>
      <c r="I59" s="8">
        <v>1</v>
      </c>
      <c r="N59" s="3">
        <v>1</v>
      </c>
      <c r="O59" s="8" t="s">
        <v>102</v>
      </c>
      <c r="P59" s="2">
        <v>10</v>
      </c>
      <c r="Q59" s="2">
        <f t="shared" si="21"/>
        <v>10</v>
      </c>
      <c r="R59" s="2">
        <v>1</v>
      </c>
      <c r="S59" s="2">
        <f t="shared" si="22"/>
        <v>10</v>
      </c>
      <c r="T59" s="3">
        <v>10</v>
      </c>
      <c r="U59" s="3">
        <v>20</v>
      </c>
      <c r="V59" s="3">
        <v>5</v>
      </c>
      <c r="W59" s="3">
        <v>5</v>
      </c>
      <c r="X59" s="3">
        <v>10</v>
      </c>
      <c r="AC59" s="74">
        <f t="shared" si="23"/>
        <v>63.32000000000001</v>
      </c>
      <c r="AD59" s="18">
        <f aca="true" t="shared" si="26" ref="AD59:AD71">4*2</f>
        <v>8</v>
      </c>
      <c r="AE59" s="3">
        <f aca="true" t="shared" si="27" ref="AE59:AE65">4*2</f>
        <v>8</v>
      </c>
      <c r="AF59" s="3">
        <f t="shared" si="17"/>
        <v>2</v>
      </c>
      <c r="AG59" s="23">
        <f t="shared" si="24"/>
        <v>18</v>
      </c>
      <c r="AH59" s="139">
        <f t="shared" si="25"/>
        <v>74.7176</v>
      </c>
    </row>
    <row r="60" spans="1:34" ht="24">
      <c r="A60" s="173"/>
      <c r="B60" s="174"/>
      <c r="E60" s="1" t="s">
        <v>55</v>
      </c>
      <c r="I60" s="8">
        <v>1</v>
      </c>
      <c r="N60" s="3">
        <v>80</v>
      </c>
      <c r="O60" s="8" t="s">
        <v>56</v>
      </c>
      <c r="P60" s="2">
        <v>0.012</v>
      </c>
      <c r="Q60" s="2">
        <f t="shared" si="21"/>
        <v>0.96</v>
      </c>
      <c r="S60" s="2">
        <f t="shared" si="22"/>
        <v>0</v>
      </c>
      <c r="T60" s="3">
        <v>10</v>
      </c>
      <c r="U60" s="3">
        <v>10</v>
      </c>
      <c r="V60" s="3">
        <v>10</v>
      </c>
      <c r="W60" s="3">
        <v>5</v>
      </c>
      <c r="X60" s="3">
        <v>5</v>
      </c>
      <c r="AC60" s="74">
        <f t="shared" si="23"/>
        <v>45.948800000000006</v>
      </c>
      <c r="AD60" s="18">
        <f t="shared" si="26"/>
        <v>8</v>
      </c>
      <c r="AE60" s="3">
        <f t="shared" si="27"/>
        <v>8</v>
      </c>
      <c r="AF60" s="3">
        <f t="shared" si="17"/>
        <v>2</v>
      </c>
      <c r="AG60" s="23">
        <f t="shared" si="24"/>
        <v>18</v>
      </c>
      <c r="AH60" s="139">
        <f t="shared" si="25"/>
        <v>54.219584000000005</v>
      </c>
    </row>
    <row r="61" spans="1:34" ht="15">
      <c r="A61" s="173"/>
      <c r="B61" s="174"/>
      <c r="E61" s="1" t="s">
        <v>93</v>
      </c>
      <c r="I61" s="8">
        <v>1</v>
      </c>
      <c r="Q61" s="2">
        <f t="shared" si="21"/>
        <v>0</v>
      </c>
      <c r="S61" s="2">
        <f t="shared" si="22"/>
        <v>0</v>
      </c>
      <c r="T61" s="3">
        <v>10</v>
      </c>
      <c r="U61" s="3">
        <v>5</v>
      </c>
      <c r="V61" s="3">
        <v>5</v>
      </c>
      <c r="W61" s="3">
        <v>5</v>
      </c>
      <c r="X61" s="3">
        <v>10</v>
      </c>
      <c r="AC61" s="74">
        <f t="shared" si="23"/>
        <v>36.720000000000006</v>
      </c>
      <c r="AD61" s="18">
        <f t="shared" si="26"/>
        <v>8</v>
      </c>
      <c r="AE61" s="3">
        <f t="shared" si="27"/>
        <v>8</v>
      </c>
      <c r="AF61" s="3">
        <f t="shared" si="17"/>
        <v>2</v>
      </c>
      <c r="AG61" s="23">
        <f t="shared" si="24"/>
        <v>18</v>
      </c>
      <c r="AH61" s="139">
        <f t="shared" si="25"/>
        <v>43.329600000000006</v>
      </c>
    </row>
    <row r="62" spans="1:34" ht="15">
      <c r="A62" s="173"/>
      <c r="B62" s="174"/>
      <c r="E62" s="1" t="s">
        <v>53</v>
      </c>
      <c r="I62" s="8">
        <v>1</v>
      </c>
      <c r="N62" s="3">
        <v>1</v>
      </c>
      <c r="O62" s="8" t="s">
        <v>102</v>
      </c>
      <c r="P62" s="2">
        <v>1</v>
      </c>
      <c r="Q62" s="2">
        <f t="shared" si="21"/>
        <v>1</v>
      </c>
      <c r="S62" s="2">
        <f t="shared" si="22"/>
        <v>0</v>
      </c>
      <c r="T62" s="3">
        <v>10</v>
      </c>
      <c r="V62" s="3">
        <v>5</v>
      </c>
      <c r="W62" s="3">
        <v>5</v>
      </c>
      <c r="X62" s="3">
        <v>10</v>
      </c>
      <c r="AC62" s="74">
        <f t="shared" si="23"/>
        <v>33.400000000000006</v>
      </c>
      <c r="AD62" s="18">
        <f t="shared" si="26"/>
        <v>8</v>
      </c>
      <c r="AE62" s="3">
        <f t="shared" si="27"/>
        <v>8</v>
      </c>
      <c r="AF62" s="3">
        <f t="shared" si="17"/>
        <v>2</v>
      </c>
      <c r="AG62" s="23">
        <f t="shared" si="24"/>
        <v>18</v>
      </c>
      <c r="AH62" s="139">
        <f t="shared" si="25"/>
        <v>39.412000000000006</v>
      </c>
    </row>
    <row r="63" spans="1:34" ht="24">
      <c r="A63" s="173"/>
      <c r="B63" s="174"/>
      <c r="E63" s="1" t="s">
        <v>96</v>
      </c>
      <c r="I63" s="8">
        <v>1</v>
      </c>
      <c r="N63" s="3">
        <v>1</v>
      </c>
      <c r="O63" s="8" t="s">
        <v>102</v>
      </c>
      <c r="P63" s="2">
        <v>8</v>
      </c>
      <c r="Q63" s="2">
        <f t="shared" si="21"/>
        <v>8</v>
      </c>
      <c r="S63" s="2">
        <f t="shared" si="22"/>
        <v>0</v>
      </c>
      <c r="W63" s="3">
        <v>5</v>
      </c>
      <c r="X63" s="3">
        <v>50</v>
      </c>
      <c r="AC63" s="74">
        <f t="shared" si="23"/>
        <v>48.56</v>
      </c>
      <c r="AD63" s="18">
        <f t="shared" si="26"/>
        <v>8</v>
      </c>
      <c r="AE63" s="3">
        <f t="shared" si="27"/>
        <v>8</v>
      </c>
      <c r="AF63" s="3">
        <f t="shared" si="17"/>
        <v>2</v>
      </c>
      <c r="AG63" s="23">
        <f t="shared" si="24"/>
        <v>18</v>
      </c>
      <c r="AH63" s="139">
        <f t="shared" si="25"/>
        <v>57.3008</v>
      </c>
    </row>
    <row r="64" spans="1:34" ht="24">
      <c r="A64" s="173"/>
      <c r="B64" s="174"/>
      <c r="D64" s="164" t="s">
        <v>129</v>
      </c>
      <c r="E64" s="1" t="s">
        <v>94</v>
      </c>
      <c r="G64" s="38"/>
      <c r="H64" s="38"/>
      <c r="I64" s="8">
        <v>1</v>
      </c>
      <c r="N64" s="3">
        <v>1</v>
      </c>
      <c r="O64" s="8" t="s">
        <v>50</v>
      </c>
      <c r="P64" s="2">
        <v>5</v>
      </c>
      <c r="Q64" s="2">
        <f t="shared" si="21"/>
        <v>5</v>
      </c>
      <c r="S64" s="2">
        <f t="shared" si="22"/>
        <v>0</v>
      </c>
      <c r="T64" s="3">
        <v>10</v>
      </c>
      <c r="U64" s="3">
        <v>15</v>
      </c>
      <c r="V64" s="3">
        <v>5</v>
      </c>
      <c r="W64" s="3">
        <v>5</v>
      </c>
      <c r="X64" s="3">
        <v>20</v>
      </c>
      <c r="Z64" s="3">
        <v>5</v>
      </c>
      <c r="AA64" s="3">
        <v>5</v>
      </c>
      <c r="AB64" s="3">
        <v>10</v>
      </c>
      <c r="AC64" s="74">
        <f t="shared" si="23"/>
        <v>77.64000000000001</v>
      </c>
      <c r="AD64" s="18">
        <f t="shared" si="26"/>
        <v>8</v>
      </c>
      <c r="AE64" s="3">
        <f t="shared" si="27"/>
        <v>8</v>
      </c>
      <c r="AF64" s="3">
        <f t="shared" si="17"/>
        <v>2</v>
      </c>
      <c r="AG64" s="23">
        <f t="shared" si="24"/>
        <v>18</v>
      </c>
      <c r="AH64" s="139">
        <f t="shared" si="25"/>
        <v>91.61520000000002</v>
      </c>
    </row>
    <row r="65" spans="1:34" ht="24">
      <c r="A65" s="173"/>
      <c r="B65" s="174"/>
      <c r="D65" s="164" t="s">
        <v>108</v>
      </c>
      <c r="E65" s="1" t="s">
        <v>92</v>
      </c>
      <c r="G65" s="38"/>
      <c r="H65" s="38"/>
      <c r="I65" s="8">
        <v>1</v>
      </c>
      <c r="Q65" s="2">
        <f t="shared" si="21"/>
        <v>0</v>
      </c>
      <c r="S65" s="2">
        <f t="shared" si="22"/>
        <v>0</v>
      </c>
      <c r="T65" s="3">
        <v>10</v>
      </c>
      <c r="U65" s="3">
        <v>15</v>
      </c>
      <c r="V65" s="3">
        <v>5</v>
      </c>
      <c r="W65" s="3">
        <v>10</v>
      </c>
      <c r="X65" s="3">
        <v>30</v>
      </c>
      <c r="AC65" s="74">
        <f t="shared" si="23"/>
        <v>64.56</v>
      </c>
      <c r="AD65" s="18">
        <f t="shared" si="26"/>
        <v>8</v>
      </c>
      <c r="AE65" s="3">
        <f t="shared" si="27"/>
        <v>8</v>
      </c>
      <c r="AF65" s="3">
        <f t="shared" si="17"/>
        <v>2</v>
      </c>
      <c r="AG65" s="23">
        <f t="shared" si="24"/>
        <v>18</v>
      </c>
      <c r="AH65" s="139">
        <f t="shared" si="25"/>
        <v>76.1808</v>
      </c>
    </row>
    <row r="66" spans="1:34" ht="15">
      <c r="A66" s="173"/>
      <c r="B66" s="174"/>
      <c r="E66" s="1" t="s">
        <v>54</v>
      </c>
      <c r="I66" s="8">
        <v>1</v>
      </c>
      <c r="N66" s="3">
        <v>1</v>
      </c>
      <c r="O66" s="8" t="s">
        <v>102</v>
      </c>
      <c r="P66" s="2">
        <v>10</v>
      </c>
      <c r="Q66" s="2">
        <f t="shared" si="21"/>
        <v>10</v>
      </c>
      <c r="S66" s="2">
        <f t="shared" si="22"/>
        <v>0</v>
      </c>
      <c r="T66" s="3">
        <v>3</v>
      </c>
      <c r="U66" s="3">
        <v>8</v>
      </c>
      <c r="V66" s="3">
        <v>0</v>
      </c>
      <c r="W66" s="3">
        <v>0</v>
      </c>
      <c r="X66" s="3">
        <v>0</v>
      </c>
      <c r="AC66" s="74">
        <f t="shared" si="23"/>
        <v>24.168</v>
      </c>
      <c r="AD66" s="18">
        <f t="shared" si="26"/>
        <v>8</v>
      </c>
      <c r="AE66" s="3">
        <f aca="true" t="shared" si="28" ref="AE66:AE75">4*2</f>
        <v>8</v>
      </c>
      <c r="AF66" s="3">
        <f t="shared" si="17"/>
        <v>2</v>
      </c>
      <c r="AG66" s="23">
        <f t="shared" si="24"/>
        <v>18</v>
      </c>
      <c r="AH66" s="139">
        <f t="shared" si="25"/>
        <v>28.51824</v>
      </c>
    </row>
    <row r="67" spans="1:34" ht="24">
      <c r="A67" s="173"/>
      <c r="B67" s="174"/>
      <c r="E67" s="1" t="s">
        <v>55</v>
      </c>
      <c r="I67" s="8">
        <v>1</v>
      </c>
      <c r="N67" s="3">
        <v>80</v>
      </c>
      <c r="O67" s="8" t="s">
        <v>56</v>
      </c>
      <c r="P67" s="2">
        <v>0.012</v>
      </c>
      <c r="Q67" s="2">
        <f t="shared" si="21"/>
        <v>0.96</v>
      </c>
      <c r="S67" s="2">
        <f t="shared" si="22"/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AC67" s="74">
        <f t="shared" si="23"/>
        <v>1.2288</v>
      </c>
      <c r="AD67" s="18">
        <f t="shared" si="26"/>
        <v>8</v>
      </c>
      <c r="AE67" s="3">
        <f t="shared" si="28"/>
        <v>8</v>
      </c>
      <c r="AF67" s="3">
        <f t="shared" si="17"/>
        <v>2</v>
      </c>
      <c r="AG67" s="23">
        <f t="shared" si="24"/>
        <v>18</v>
      </c>
      <c r="AH67" s="139">
        <f t="shared" si="25"/>
        <v>1.4499839999999997</v>
      </c>
    </row>
    <row r="68" spans="1:34" ht="15">
      <c r="A68" s="173"/>
      <c r="B68" s="174"/>
      <c r="E68" s="1" t="s">
        <v>93</v>
      </c>
      <c r="I68" s="8">
        <v>1</v>
      </c>
      <c r="Q68" s="2">
        <f t="shared" si="21"/>
        <v>0</v>
      </c>
      <c r="S68" s="2">
        <f t="shared" si="22"/>
        <v>0</v>
      </c>
      <c r="T68" s="3">
        <v>10</v>
      </c>
      <c r="U68" s="3">
        <v>5</v>
      </c>
      <c r="V68" s="3">
        <v>5</v>
      </c>
      <c r="W68" s="3">
        <v>5</v>
      </c>
      <c r="X68" s="3">
        <v>5</v>
      </c>
      <c r="AC68" s="74">
        <f t="shared" si="23"/>
        <v>33.440000000000005</v>
      </c>
      <c r="AD68" s="18">
        <f t="shared" si="26"/>
        <v>8</v>
      </c>
      <c r="AE68" s="3">
        <f t="shared" si="28"/>
        <v>8</v>
      </c>
      <c r="AF68" s="3">
        <f t="shared" si="17"/>
        <v>2</v>
      </c>
      <c r="AG68" s="23">
        <f t="shared" si="24"/>
        <v>18</v>
      </c>
      <c r="AH68" s="139">
        <f t="shared" si="25"/>
        <v>39.4592</v>
      </c>
    </row>
    <row r="69" spans="1:34" ht="15">
      <c r="A69" s="173"/>
      <c r="B69" s="174"/>
      <c r="E69" s="1" t="s">
        <v>53</v>
      </c>
      <c r="I69" s="8">
        <v>1</v>
      </c>
      <c r="N69" s="3">
        <v>1</v>
      </c>
      <c r="O69" s="8" t="s">
        <v>102</v>
      </c>
      <c r="P69" s="2">
        <v>1</v>
      </c>
      <c r="Q69" s="2">
        <f t="shared" si="21"/>
        <v>1</v>
      </c>
      <c r="S69" s="2">
        <f t="shared" si="22"/>
        <v>0</v>
      </c>
      <c r="T69" s="3">
        <v>10</v>
      </c>
      <c r="V69" s="3">
        <v>5</v>
      </c>
      <c r="W69" s="3">
        <v>5</v>
      </c>
      <c r="X69" s="3">
        <v>5</v>
      </c>
      <c r="AC69" s="74">
        <f t="shared" si="23"/>
        <v>30.120000000000005</v>
      </c>
      <c r="AD69" s="18">
        <f t="shared" si="26"/>
        <v>8</v>
      </c>
      <c r="AE69" s="3">
        <f t="shared" si="28"/>
        <v>8</v>
      </c>
      <c r="AF69" s="3">
        <f t="shared" si="17"/>
        <v>2</v>
      </c>
      <c r="AG69" s="23">
        <f t="shared" si="24"/>
        <v>18</v>
      </c>
      <c r="AH69" s="139">
        <f t="shared" si="25"/>
        <v>35.5416</v>
      </c>
    </row>
    <row r="70" spans="1:34" ht="24">
      <c r="A70" s="173"/>
      <c r="B70" s="174"/>
      <c r="E70" s="1" t="s">
        <v>96</v>
      </c>
      <c r="I70" s="8">
        <v>1</v>
      </c>
      <c r="N70" s="3">
        <v>1</v>
      </c>
      <c r="O70" s="8" t="s">
        <v>102</v>
      </c>
      <c r="P70" s="2">
        <v>2</v>
      </c>
      <c r="Q70" s="2">
        <f t="shared" si="21"/>
        <v>2</v>
      </c>
      <c r="S70" s="2">
        <f t="shared" si="22"/>
        <v>0</v>
      </c>
      <c r="W70" s="3">
        <v>5</v>
      </c>
      <c r="X70" s="3">
        <v>15</v>
      </c>
      <c r="AC70" s="74">
        <f t="shared" si="23"/>
        <v>17.92</v>
      </c>
      <c r="AD70" s="18">
        <f t="shared" si="26"/>
        <v>8</v>
      </c>
      <c r="AE70" s="3">
        <f t="shared" si="28"/>
        <v>8</v>
      </c>
      <c r="AF70" s="3">
        <f t="shared" si="17"/>
        <v>2</v>
      </c>
      <c r="AG70" s="23">
        <f t="shared" si="24"/>
        <v>18</v>
      </c>
      <c r="AH70" s="139">
        <f t="shared" si="25"/>
        <v>21.1456</v>
      </c>
    </row>
    <row r="71" spans="1:34" ht="24.75" thickBot="1">
      <c r="A71" s="173"/>
      <c r="B71" s="196"/>
      <c r="C71" s="197"/>
      <c r="D71" s="197"/>
      <c r="E71" s="115" t="s">
        <v>95</v>
      </c>
      <c r="F71" s="115"/>
      <c r="G71" s="115"/>
      <c r="H71" s="115"/>
      <c r="I71" s="116">
        <v>1</v>
      </c>
      <c r="J71" s="115"/>
      <c r="K71" s="115"/>
      <c r="L71" s="115"/>
      <c r="M71" s="115"/>
      <c r="N71" s="117"/>
      <c r="O71" s="116"/>
      <c r="P71" s="118"/>
      <c r="Q71" s="118">
        <f t="shared" si="21"/>
        <v>0</v>
      </c>
      <c r="R71" s="118"/>
      <c r="S71" s="118">
        <f t="shared" si="22"/>
        <v>0</v>
      </c>
      <c r="T71" s="117"/>
      <c r="U71" s="117"/>
      <c r="V71" s="117"/>
      <c r="W71" s="117"/>
      <c r="X71" s="117"/>
      <c r="Y71" s="117"/>
      <c r="Z71" s="117">
        <v>10</v>
      </c>
      <c r="AA71" s="117">
        <v>10</v>
      </c>
      <c r="AB71" s="117">
        <v>20</v>
      </c>
      <c r="AC71" s="74">
        <f t="shared" si="23"/>
        <v>37.52</v>
      </c>
      <c r="AD71" s="120">
        <f t="shared" si="26"/>
        <v>8</v>
      </c>
      <c r="AE71" s="117">
        <f t="shared" si="28"/>
        <v>8</v>
      </c>
      <c r="AF71" s="117">
        <f t="shared" si="17"/>
        <v>2</v>
      </c>
      <c r="AG71" s="121">
        <f t="shared" si="24"/>
        <v>18</v>
      </c>
      <c r="AH71" s="152">
        <f t="shared" si="25"/>
        <v>44.2736</v>
      </c>
    </row>
    <row r="72" spans="1:34" ht="30">
      <c r="A72" s="173"/>
      <c r="B72" s="170" t="s">
        <v>7</v>
      </c>
      <c r="C72" s="171">
        <f>SUM(AC73)</f>
        <v>101.168</v>
      </c>
      <c r="D72" s="172">
        <f>SUM(AH73)</f>
        <v>119.37824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D72" s="80"/>
      <c r="AE72" s="80"/>
      <c r="AF72" s="80"/>
      <c r="AG72" s="80"/>
      <c r="AH72" s="138"/>
    </row>
    <row r="73" spans="1:34" s="19" customFormat="1" ht="15.75" thickBot="1">
      <c r="A73" s="169"/>
      <c r="B73" s="198" t="s">
        <v>110</v>
      </c>
      <c r="C73" s="199"/>
      <c r="D73" s="199"/>
      <c r="E73" s="122" t="s">
        <v>14</v>
      </c>
      <c r="F73" s="122"/>
      <c r="G73" s="123"/>
      <c r="H73" s="123"/>
      <c r="I73" s="116">
        <v>1</v>
      </c>
      <c r="J73" s="122"/>
      <c r="K73" s="122"/>
      <c r="L73" s="122"/>
      <c r="M73" s="122"/>
      <c r="N73" s="124">
        <v>1</v>
      </c>
      <c r="O73" s="125" t="s">
        <v>50</v>
      </c>
      <c r="P73" s="126">
        <v>10</v>
      </c>
      <c r="Q73" s="126">
        <f>P73*N73</f>
        <v>10</v>
      </c>
      <c r="R73" s="126"/>
      <c r="S73" s="126">
        <f>P73*R73</f>
        <v>0</v>
      </c>
      <c r="T73" s="124">
        <v>15</v>
      </c>
      <c r="U73" s="124">
        <v>15</v>
      </c>
      <c r="V73" s="124">
        <v>3</v>
      </c>
      <c r="W73" s="124">
        <v>5</v>
      </c>
      <c r="X73" s="124">
        <v>35</v>
      </c>
      <c r="Y73" s="124"/>
      <c r="Z73" s="124">
        <v>5</v>
      </c>
      <c r="AA73" s="124">
        <v>5</v>
      </c>
      <c r="AB73" s="124">
        <v>15</v>
      </c>
      <c r="AC73" s="74">
        <f>((Q73+Y73)*GA+(T73+V73+Z73)*EEEM+(W73+AA73)*EESM+(U73*DM)+(X73+AB73)*EETB)*I73</f>
        <v>101.168</v>
      </c>
      <c r="AD73" s="121">
        <f>4*2</f>
        <v>8</v>
      </c>
      <c r="AE73" s="124">
        <f t="shared" si="28"/>
        <v>8</v>
      </c>
      <c r="AF73" s="124">
        <f t="shared" si="17"/>
        <v>2</v>
      </c>
      <c r="AG73" s="121">
        <f>IF(AC73=0,"",AD73+AE73+AF73)</f>
        <v>18</v>
      </c>
      <c r="AH73" s="152">
        <f>IF(AG73="",0,AC73*(1+AG73/100))</f>
        <v>119.37824</v>
      </c>
    </row>
    <row r="74" spans="1:34" ht="30">
      <c r="A74" s="173"/>
      <c r="B74" s="170" t="s">
        <v>19</v>
      </c>
      <c r="C74" s="171">
        <f>SUM(AC75)</f>
        <v>40.080000000000005</v>
      </c>
      <c r="D74" s="172">
        <f>SUM(AH75)</f>
        <v>47.2944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1"/>
      <c r="AD74" s="80"/>
      <c r="AE74" s="80"/>
      <c r="AF74" s="80"/>
      <c r="AG74" s="80"/>
      <c r="AH74" s="138"/>
    </row>
    <row r="75" spans="1:34" s="19" customFormat="1" ht="24.75" thickBot="1">
      <c r="A75" s="169"/>
      <c r="B75" s="198"/>
      <c r="C75" s="199"/>
      <c r="D75" s="199"/>
      <c r="E75" s="122" t="s">
        <v>97</v>
      </c>
      <c r="F75" s="122"/>
      <c r="G75" s="123"/>
      <c r="H75" s="123"/>
      <c r="I75" s="116">
        <v>1</v>
      </c>
      <c r="J75" s="122"/>
      <c r="K75" s="122"/>
      <c r="L75" s="122"/>
      <c r="M75" s="122"/>
      <c r="N75" s="124"/>
      <c r="O75" s="125"/>
      <c r="P75" s="126"/>
      <c r="Q75" s="126">
        <f>P75*N75</f>
        <v>0</v>
      </c>
      <c r="R75" s="126"/>
      <c r="S75" s="126">
        <f>P75*R75</f>
        <v>0</v>
      </c>
      <c r="T75" s="124">
        <v>30</v>
      </c>
      <c r="U75" s="124"/>
      <c r="V75" s="124"/>
      <c r="W75" s="124"/>
      <c r="X75" s="124"/>
      <c r="Y75" s="124"/>
      <c r="Z75" s="124"/>
      <c r="AA75" s="124"/>
      <c r="AB75" s="124"/>
      <c r="AC75" s="119">
        <f>((Q75+Y75)*GA+(T75+V75+Z75)*EEEM+(W75+AA75)*EESM+(U75*DM)+(X75+AB75)*EETB)*I75</f>
        <v>40.080000000000005</v>
      </c>
      <c r="AD75" s="121">
        <f>4*2</f>
        <v>8</v>
      </c>
      <c r="AE75" s="124">
        <f t="shared" si="28"/>
        <v>8</v>
      </c>
      <c r="AF75" s="124">
        <f t="shared" si="17"/>
        <v>2</v>
      </c>
      <c r="AG75" s="121">
        <f>IF(AC75=0,"",AD75+AE75+AF75)</f>
        <v>18</v>
      </c>
      <c r="AH75" s="152">
        <f>IF(AG75="",0,AC75*(1+AG75/100))</f>
        <v>47.2944</v>
      </c>
    </row>
    <row r="76" spans="1:34" ht="15">
      <c r="A76" s="173"/>
      <c r="B76" s="170" t="s">
        <v>20</v>
      </c>
      <c r="C76" s="171">
        <f>SUM(AC77:AC79)</f>
        <v>359.296</v>
      </c>
      <c r="D76" s="172">
        <f>SUM(AH77:AH79)</f>
        <v>423.96928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1"/>
      <c r="AD76" s="80"/>
      <c r="AE76" s="80"/>
      <c r="AF76" s="80"/>
      <c r="AG76" s="80"/>
      <c r="AH76" s="138"/>
    </row>
    <row r="77" spans="1:34" ht="30">
      <c r="A77" s="173"/>
      <c r="B77" s="174"/>
      <c r="D77" s="164" t="s">
        <v>89</v>
      </c>
      <c r="G77" s="38"/>
      <c r="H77" s="38"/>
      <c r="I77" s="8">
        <v>1</v>
      </c>
      <c r="N77" s="3">
        <v>2</v>
      </c>
      <c r="O77" s="8" t="s">
        <v>102</v>
      </c>
      <c r="P77" s="2">
        <v>30</v>
      </c>
      <c r="Q77" s="2">
        <f>P77*N77</f>
        <v>60</v>
      </c>
      <c r="R77" s="2">
        <v>1</v>
      </c>
      <c r="S77" s="2">
        <f>P77*R77</f>
        <v>30</v>
      </c>
      <c r="T77" s="3">
        <v>5</v>
      </c>
      <c r="U77" s="3">
        <v>10</v>
      </c>
      <c r="V77" s="3">
        <v>4</v>
      </c>
      <c r="W77" s="3">
        <v>8</v>
      </c>
      <c r="X77" s="3">
        <v>35</v>
      </c>
      <c r="Z77" s="3">
        <v>3</v>
      </c>
      <c r="AA77" s="3">
        <v>3</v>
      </c>
      <c r="AB77" s="3">
        <v>15</v>
      </c>
      <c r="AC77" s="74">
        <f>((Q77+Y77)*GA+(T77+V77+Z77)*EEEM+(W77+AA77)*EESM+(U77*DM)+(X77+AB77)*EETB)*I77</f>
        <v>146.976</v>
      </c>
      <c r="AD77" s="18">
        <f aca="true" t="shared" si="29" ref="AD77:AE79">4*2</f>
        <v>8</v>
      </c>
      <c r="AE77" s="3">
        <f t="shared" si="29"/>
        <v>8</v>
      </c>
      <c r="AF77" s="3">
        <f>2*1</f>
        <v>2</v>
      </c>
      <c r="AG77" s="23">
        <f>IF(AC77=0,"",AD77+AE77+AF77)</f>
        <v>18</v>
      </c>
      <c r="AH77" s="139">
        <f>IF(AG77="",0,AC77*(1+AG77/100))</f>
        <v>173.43168</v>
      </c>
    </row>
    <row r="78" spans="1:34" ht="30">
      <c r="A78" s="173"/>
      <c r="B78" s="174"/>
      <c r="D78" s="164" t="s">
        <v>90</v>
      </c>
      <c r="G78" s="38"/>
      <c r="H78" s="38"/>
      <c r="I78" s="8">
        <v>1</v>
      </c>
      <c r="N78" s="3">
        <v>1</v>
      </c>
      <c r="O78" s="8" t="s">
        <v>50</v>
      </c>
      <c r="P78" s="2">
        <v>9</v>
      </c>
      <c r="Q78" s="2">
        <f>P78*N78</f>
        <v>9</v>
      </c>
      <c r="R78" s="2">
        <v>0</v>
      </c>
      <c r="S78" s="2">
        <f>P78*R78</f>
        <v>0</v>
      </c>
      <c r="T78" s="3">
        <v>35</v>
      </c>
      <c r="U78" s="3">
        <v>10</v>
      </c>
      <c r="V78" s="3">
        <v>5</v>
      </c>
      <c r="W78" s="3">
        <v>0</v>
      </c>
      <c r="X78" s="3">
        <v>35</v>
      </c>
      <c r="Z78" s="3">
        <v>10</v>
      </c>
      <c r="AA78" s="3">
        <v>5</v>
      </c>
      <c r="AB78" s="3">
        <v>5</v>
      </c>
      <c r="AC78" s="74">
        <f>((Q78+Y78)*GA+(T78+V78+Z78)*EEEM+(W78+AA78)*EESM+(U78*DM)+(X78+AB78)*EETB)*I78</f>
        <v>119.28</v>
      </c>
      <c r="AD78" s="18">
        <f t="shared" si="29"/>
        <v>8</v>
      </c>
      <c r="AE78" s="3">
        <f t="shared" si="29"/>
        <v>8</v>
      </c>
      <c r="AF78" s="3">
        <f t="shared" si="17"/>
        <v>2</v>
      </c>
      <c r="AG78" s="23">
        <f>IF(AC78=0,"",AD78+AE78+AF78)</f>
        <v>18</v>
      </c>
      <c r="AH78" s="139">
        <f>IF(AG78="",0,AC78*(1+AG78/100))</f>
        <v>140.75039999999998</v>
      </c>
    </row>
    <row r="79" spans="1:34" s="591" customFormat="1" ht="45.75" thickBot="1">
      <c r="A79" s="581"/>
      <c r="B79" s="622"/>
      <c r="C79" s="623"/>
      <c r="D79" s="623" t="s">
        <v>98</v>
      </c>
      <c r="E79" s="624"/>
      <c r="F79" s="624"/>
      <c r="G79" s="625"/>
      <c r="H79" s="625"/>
      <c r="I79" s="626">
        <v>1</v>
      </c>
      <c r="J79" s="624"/>
      <c r="K79" s="624"/>
      <c r="L79" s="624"/>
      <c r="M79" s="624"/>
      <c r="N79" s="627">
        <v>7</v>
      </c>
      <c r="O79" s="626" t="s">
        <v>102</v>
      </c>
      <c r="P79" s="628">
        <v>1</v>
      </c>
      <c r="Q79" s="628">
        <f>P79*N79</f>
        <v>7</v>
      </c>
      <c r="R79" s="628">
        <v>2</v>
      </c>
      <c r="S79" s="628">
        <f>P79*R79</f>
        <v>2</v>
      </c>
      <c r="T79" s="627">
        <v>10</v>
      </c>
      <c r="U79" s="627">
        <v>20</v>
      </c>
      <c r="V79" s="627">
        <v>5</v>
      </c>
      <c r="W79" s="627">
        <v>5</v>
      </c>
      <c r="X79" s="627">
        <v>35</v>
      </c>
      <c r="Y79" s="627"/>
      <c r="Z79" s="627">
        <v>3</v>
      </c>
      <c r="AA79" s="627">
        <v>3</v>
      </c>
      <c r="AB79" s="627">
        <v>15</v>
      </c>
      <c r="AC79" s="627">
        <f>((Q79+Y79)*GA+(T79+V79+Z79)*EEEM+(W79+AA79)*EESM+(U79*DM)+(X79+AB79)*EETB)*I79</f>
        <v>93.04000000000002</v>
      </c>
      <c r="AD79" s="629">
        <f t="shared" si="29"/>
        <v>8</v>
      </c>
      <c r="AE79" s="627">
        <f t="shared" si="29"/>
        <v>8</v>
      </c>
      <c r="AF79" s="627">
        <f t="shared" si="17"/>
        <v>2</v>
      </c>
      <c r="AG79" s="629">
        <f>IF(AC79=0,"",AD79+AE79+AF79)</f>
        <v>18</v>
      </c>
      <c r="AH79" s="630">
        <f>IF(AG79="",0,AC79*(1+AG79/100))</f>
        <v>109.78720000000001</v>
      </c>
    </row>
    <row r="80" spans="1:34" s="602" customFormat="1" ht="15">
      <c r="A80" s="594"/>
      <c r="B80" s="631" t="s">
        <v>21</v>
      </c>
      <c r="C80" s="632">
        <f>SUM(AC81:AC83)</f>
        <v>412.09600000000006</v>
      </c>
      <c r="D80" s="632">
        <f>SUM(AH81:AH83)</f>
        <v>500.42176</v>
      </c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4"/>
      <c r="U80" s="633"/>
      <c r="V80" s="633"/>
      <c r="W80" s="633"/>
      <c r="X80" s="633"/>
      <c r="Y80" s="633"/>
      <c r="Z80" s="633"/>
      <c r="AA80" s="633"/>
      <c r="AB80" s="633"/>
      <c r="AC80" s="635"/>
      <c r="AD80" s="633"/>
      <c r="AE80" s="633"/>
      <c r="AF80" s="633"/>
      <c r="AG80" s="633"/>
      <c r="AH80" s="636"/>
    </row>
    <row r="81" spans="1:34" s="591" customFormat="1" ht="30">
      <c r="A81" s="581"/>
      <c r="B81" s="582"/>
      <c r="C81" s="583"/>
      <c r="D81" s="583" t="s">
        <v>91</v>
      </c>
      <c r="E81" s="584"/>
      <c r="F81" s="584"/>
      <c r="G81" s="592"/>
      <c r="H81" s="592"/>
      <c r="I81" s="585">
        <v>1</v>
      </c>
      <c r="J81" s="584"/>
      <c r="K81" s="584"/>
      <c r="L81" s="584"/>
      <c r="M81" s="584"/>
      <c r="N81" s="586">
        <v>7</v>
      </c>
      <c r="O81" s="585" t="s">
        <v>102</v>
      </c>
      <c r="P81" s="587">
        <v>4</v>
      </c>
      <c r="Q81" s="587">
        <f>P81*N81</f>
        <v>28</v>
      </c>
      <c r="R81" s="587">
        <v>1</v>
      </c>
      <c r="S81" s="587">
        <f>P81*R81</f>
        <v>4</v>
      </c>
      <c r="T81" s="586">
        <v>50</v>
      </c>
      <c r="U81" s="586">
        <v>50</v>
      </c>
      <c r="V81" s="586">
        <v>10</v>
      </c>
      <c r="W81" s="586">
        <v>30</v>
      </c>
      <c r="X81" s="586">
        <v>35</v>
      </c>
      <c r="Y81" s="586"/>
      <c r="Z81" s="586">
        <v>10</v>
      </c>
      <c r="AA81" s="586">
        <v>4</v>
      </c>
      <c r="AB81" s="586">
        <v>10</v>
      </c>
      <c r="AC81" s="588">
        <f>((Q81+Y81)*GA+(T81+V81+Z81)*EEEM+(W81+AA81)*EESM+(U81*DM)+(X81+AB81)*EETB)*I81</f>
        <v>242.41600000000003</v>
      </c>
      <c r="AD81" s="589">
        <f>4*3</f>
        <v>12</v>
      </c>
      <c r="AE81" s="586">
        <f>4*2</f>
        <v>8</v>
      </c>
      <c r="AF81" s="586">
        <f t="shared" si="17"/>
        <v>2</v>
      </c>
      <c r="AG81" s="589">
        <f>IF(AC81=0,"",AD81+AE81+AF81)</f>
        <v>22</v>
      </c>
      <c r="AH81" s="590">
        <f>IF(AG81="",0,AC81*(1+AG81/100))</f>
        <v>295.74752</v>
      </c>
    </row>
    <row r="82" spans="1:34" s="591" customFormat="1" ht="30.75" thickBot="1">
      <c r="A82" s="581"/>
      <c r="B82" s="582"/>
      <c r="C82" s="583"/>
      <c r="D82" s="583" t="s">
        <v>263</v>
      </c>
      <c r="E82" s="584"/>
      <c r="F82" s="584"/>
      <c r="G82" s="592"/>
      <c r="H82" s="592"/>
      <c r="I82" s="585">
        <v>1</v>
      </c>
      <c r="J82" s="584"/>
      <c r="K82" s="584"/>
      <c r="L82" s="584"/>
      <c r="M82" s="584"/>
      <c r="N82" s="586">
        <v>7</v>
      </c>
      <c r="O82" s="585" t="s">
        <v>102</v>
      </c>
      <c r="P82" s="587">
        <v>1.5</v>
      </c>
      <c r="Q82" s="587">
        <f>P82*N82</f>
        <v>10.5</v>
      </c>
      <c r="R82" s="587">
        <v>1</v>
      </c>
      <c r="S82" s="587">
        <f>P82*R82</f>
        <v>1.5</v>
      </c>
      <c r="T82" s="586">
        <v>10</v>
      </c>
      <c r="U82" s="586">
        <v>20</v>
      </c>
      <c r="V82" s="586">
        <v>5</v>
      </c>
      <c r="W82" s="586">
        <v>20</v>
      </c>
      <c r="X82" s="586">
        <v>30</v>
      </c>
      <c r="Y82" s="586"/>
      <c r="Z82" s="586">
        <v>5</v>
      </c>
      <c r="AA82" s="586">
        <v>4</v>
      </c>
      <c r="AB82" s="586">
        <v>10</v>
      </c>
      <c r="AC82" s="588">
        <f>((Q82+Y82)*GA+(T82+V82+Z82)*EEEM+(W82+AA82)*EESM+(U82*DM)+(X82+AB82)*EETB)*I82</f>
        <v>111.29600000000002</v>
      </c>
      <c r="AD82" s="589">
        <f>4*3</f>
        <v>12</v>
      </c>
      <c r="AE82" s="586">
        <f>4*2</f>
        <v>8</v>
      </c>
      <c r="AF82" s="586">
        <f t="shared" si="17"/>
        <v>2</v>
      </c>
      <c r="AG82" s="589">
        <f aca="true" t="shared" si="30" ref="AG82:AG124">IF(AC82=0,"",AD82+AE82+AF82)</f>
        <v>22</v>
      </c>
      <c r="AH82" s="590">
        <f aca="true" t="shared" si="31" ref="AH82:AH123">IF(AG82="",0,AC82*(1+AG82/100))</f>
        <v>135.78112000000002</v>
      </c>
    </row>
    <row r="83" spans="1:34" ht="31.5" thickBot="1" thickTop="1">
      <c r="A83" s="173"/>
      <c r="B83" s="196"/>
      <c r="C83" s="166"/>
      <c r="D83" s="197" t="s">
        <v>99</v>
      </c>
      <c r="E83" s="115"/>
      <c r="F83" s="115"/>
      <c r="G83" s="127"/>
      <c r="H83" s="127"/>
      <c r="I83" s="116">
        <v>1</v>
      </c>
      <c r="J83" s="115"/>
      <c r="K83" s="115"/>
      <c r="L83" s="115"/>
      <c r="M83" s="115"/>
      <c r="N83" s="117">
        <v>1</v>
      </c>
      <c r="O83" s="116" t="s">
        <v>102</v>
      </c>
      <c r="P83" s="118">
        <v>3</v>
      </c>
      <c r="Q83" s="118">
        <f>P83*N83</f>
        <v>3</v>
      </c>
      <c r="R83" s="118">
        <v>1</v>
      </c>
      <c r="S83" s="118">
        <f aca="true" t="shared" si="32" ref="S83:S123">P83*R83</f>
        <v>3</v>
      </c>
      <c r="T83" s="117">
        <v>10</v>
      </c>
      <c r="U83" s="117">
        <v>10</v>
      </c>
      <c r="V83" s="117">
        <v>4</v>
      </c>
      <c r="W83" s="117">
        <v>4</v>
      </c>
      <c r="X83" s="117">
        <v>15</v>
      </c>
      <c r="Y83" s="117"/>
      <c r="Z83" s="117">
        <v>4</v>
      </c>
      <c r="AA83" s="117">
        <v>4</v>
      </c>
      <c r="AB83" s="117">
        <v>4</v>
      </c>
      <c r="AC83" s="74">
        <f>((Q83+Y83)*GA+(T83+V83+Z83)*EEEM+(W83+AA83)*EESM+(U83*DM)+(X83+AB83)*EETB)*I83</f>
        <v>58.384</v>
      </c>
      <c r="AD83" s="120">
        <f aca="true" t="shared" si="33" ref="AD83:AE123">4*2</f>
        <v>8</v>
      </c>
      <c r="AE83" s="117">
        <f t="shared" si="33"/>
        <v>8</v>
      </c>
      <c r="AF83" s="117">
        <f aca="true" t="shared" si="34" ref="AF83:AF123">2*1</f>
        <v>2</v>
      </c>
      <c r="AG83" s="121">
        <f t="shared" si="30"/>
        <v>18</v>
      </c>
      <c r="AH83" s="152">
        <f t="shared" si="31"/>
        <v>68.89312</v>
      </c>
    </row>
    <row r="84" spans="1:34" s="476" customFormat="1" ht="30">
      <c r="A84" s="470"/>
      <c r="B84" s="471" t="s">
        <v>22</v>
      </c>
      <c r="C84" s="171">
        <f>SUM(AC85:AC90)</f>
        <v>319.2214400000001</v>
      </c>
      <c r="D84" s="172">
        <f>SUM(AH85:AH90)</f>
        <v>379.41409920000007</v>
      </c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/>
      <c r="R84" s="472"/>
      <c r="S84" s="472"/>
      <c r="T84" s="473"/>
      <c r="U84" s="472"/>
      <c r="V84" s="472"/>
      <c r="W84" s="472"/>
      <c r="X84" s="472"/>
      <c r="Y84" s="472"/>
      <c r="Z84" s="472"/>
      <c r="AA84" s="472"/>
      <c r="AB84" s="472"/>
      <c r="AC84" s="474"/>
      <c r="AD84" s="472"/>
      <c r="AE84" s="472"/>
      <c r="AF84" s="472"/>
      <c r="AG84" s="472"/>
      <c r="AH84" s="475"/>
    </row>
    <row r="85" spans="1:36" s="476" customFormat="1" ht="23.25" customHeight="1">
      <c r="A85" s="470"/>
      <c r="B85" s="477"/>
      <c r="C85" s="478"/>
      <c r="D85" s="478" t="s">
        <v>15</v>
      </c>
      <c r="E85" s="479" t="s">
        <v>202</v>
      </c>
      <c r="F85" s="479"/>
      <c r="G85" s="480"/>
      <c r="H85" s="480"/>
      <c r="I85" s="481">
        <v>1</v>
      </c>
      <c r="J85" s="479"/>
      <c r="K85" s="479"/>
      <c r="L85" s="479"/>
      <c r="M85" s="479"/>
      <c r="N85" s="482"/>
      <c r="O85" s="481"/>
      <c r="P85" s="483"/>
      <c r="Q85" s="483">
        <v>0.5</v>
      </c>
      <c r="R85" s="483"/>
      <c r="S85" s="483">
        <f aca="true" t="shared" si="35" ref="S85:S90">P85*R85</f>
        <v>0</v>
      </c>
      <c r="T85" s="482">
        <v>30</v>
      </c>
      <c r="U85" s="482">
        <v>30</v>
      </c>
      <c r="V85" s="482"/>
      <c r="W85" s="482"/>
      <c r="X85" s="482"/>
      <c r="Y85" s="482"/>
      <c r="Z85" s="482"/>
      <c r="AA85" s="482"/>
      <c r="AB85" s="482"/>
      <c r="AC85" s="484">
        <f aca="true" t="shared" si="36" ref="AC85:AC90">((Q85+Y85)*GA+(T85+V85+Z85)*EEEM+(W85+AA85)*EESM+(U85*DM)+(X85+AB85)*EETB)*I85</f>
        <v>68.32000000000001</v>
      </c>
      <c r="AD85" s="485">
        <f>4*3</f>
        <v>12</v>
      </c>
      <c r="AE85" s="482">
        <f>4*2</f>
        <v>8</v>
      </c>
      <c r="AF85" s="482">
        <f aca="true" t="shared" si="37" ref="AF85:AF90">2*1</f>
        <v>2</v>
      </c>
      <c r="AG85" s="486">
        <f aca="true" t="shared" si="38" ref="AG85:AG90">IF(AC85=0,"",AD85+AE85+AF85)</f>
        <v>22</v>
      </c>
      <c r="AH85" s="487">
        <f aca="true" t="shared" si="39" ref="AH85:AH90">IF(AG85="",0,AC85*(1+AG85/100))</f>
        <v>83.35040000000001</v>
      </c>
      <c r="AJ85" s="476">
        <f aca="true" t="shared" si="40" ref="AJ85:AJ90">(AH85-AC85)*100/AC85</f>
        <v>21.999999999999996</v>
      </c>
    </row>
    <row r="86" spans="1:36" s="476" customFormat="1" ht="24.75" thickBot="1">
      <c r="A86" s="470"/>
      <c r="B86" s="477"/>
      <c r="C86" s="478"/>
      <c r="D86" s="488"/>
      <c r="E86" s="479" t="s">
        <v>206</v>
      </c>
      <c r="F86" s="479"/>
      <c r="G86" s="479"/>
      <c r="H86" s="479"/>
      <c r="I86" s="481">
        <v>1</v>
      </c>
      <c r="J86" s="479"/>
      <c r="K86" s="479"/>
      <c r="L86" s="479"/>
      <c r="M86" s="479"/>
      <c r="N86" s="482">
        <v>1</v>
      </c>
      <c r="O86" s="481" t="s">
        <v>50</v>
      </c>
      <c r="P86" s="483">
        <v>70</v>
      </c>
      <c r="Q86" s="483">
        <f>P86*N86</f>
        <v>70</v>
      </c>
      <c r="R86" s="483"/>
      <c r="S86" s="483">
        <f>P86*R86</f>
        <v>0</v>
      </c>
      <c r="T86" s="482">
        <v>2</v>
      </c>
      <c r="U86" s="482">
        <v>2</v>
      </c>
      <c r="V86" s="482">
        <v>5</v>
      </c>
      <c r="W86" s="482">
        <v>10</v>
      </c>
      <c r="X86" s="482">
        <v>20</v>
      </c>
      <c r="Y86" s="482"/>
      <c r="Z86" s="482"/>
      <c r="AA86" s="482"/>
      <c r="AB86" s="482"/>
      <c r="AC86" s="484">
        <f>((Q86+Y86)*GA+(T86+V86+Z86)*EEEM+(W86+AA86)*EESM+(U86*DM)+(X86+AB86)*EETB)*I86</f>
        <v>124.95200000000003</v>
      </c>
      <c r="AD86" s="485">
        <f aca="true" t="shared" si="41" ref="AD86:AE90">4*2</f>
        <v>8</v>
      </c>
      <c r="AE86" s="482">
        <f t="shared" si="41"/>
        <v>8</v>
      </c>
      <c r="AF86" s="482">
        <f t="shared" si="37"/>
        <v>2</v>
      </c>
      <c r="AG86" s="486">
        <f>IF(AC86=0,"",AD86+AE86+AF86)</f>
        <v>18</v>
      </c>
      <c r="AH86" s="487">
        <f>IF(AG86="",0,AC86*(1+AG86/100))</f>
        <v>147.44336</v>
      </c>
      <c r="AJ86" s="476">
        <f>(AH86-AC86)*100/AC86</f>
        <v>17.999999999999986</v>
      </c>
    </row>
    <row r="87" spans="1:36" s="476" customFormat="1" ht="20.25" customHeight="1" thickTop="1">
      <c r="A87" s="470"/>
      <c r="B87" s="477"/>
      <c r="C87" s="478"/>
      <c r="D87" s="478"/>
      <c r="E87" s="479" t="s">
        <v>205</v>
      </c>
      <c r="F87" s="479"/>
      <c r="G87" s="479"/>
      <c r="H87" s="479"/>
      <c r="I87" s="481">
        <v>1</v>
      </c>
      <c r="J87" s="479"/>
      <c r="K87" s="479"/>
      <c r="L87" s="479"/>
      <c r="M87" s="479"/>
      <c r="N87" s="482">
        <v>1</v>
      </c>
      <c r="O87" s="481" t="s">
        <v>102</v>
      </c>
      <c r="P87" s="483">
        <v>1</v>
      </c>
      <c r="Q87" s="483">
        <f>P87*N87</f>
        <v>1</v>
      </c>
      <c r="R87" s="483"/>
      <c r="S87" s="483">
        <f t="shared" si="35"/>
        <v>0</v>
      </c>
      <c r="T87" s="482">
        <v>2</v>
      </c>
      <c r="U87" s="482">
        <v>2</v>
      </c>
      <c r="V87" s="482">
        <v>5</v>
      </c>
      <c r="W87" s="482">
        <v>4</v>
      </c>
      <c r="X87" s="482">
        <v>20</v>
      </c>
      <c r="Y87" s="482"/>
      <c r="Z87" s="482"/>
      <c r="AA87" s="482"/>
      <c r="AB87" s="482"/>
      <c r="AC87" s="484">
        <f t="shared" si="36"/>
        <v>30.008000000000003</v>
      </c>
      <c r="AD87" s="485">
        <f t="shared" si="41"/>
        <v>8</v>
      </c>
      <c r="AE87" s="482">
        <f t="shared" si="41"/>
        <v>8</v>
      </c>
      <c r="AF87" s="482">
        <f t="shared" si="37"/>
        <v>2</v>
      </c>
      <c r="AG87" s="486">
        <f t="shared" si="38"/>
        <v>18</v>
      </c>
      <c r="AH87" s="487">
        <f t="shared" si="39"/>
        <v>35.409440000000004</v>
      </c>
      <c r="AJ87" s="476">
        <f t="shared" si="40"/>
        <v>18.000000000000004</v>
      </c>
    </row>
    <row r="88" spans="1:36" s="476" customFormat="1" ht="21.75" customHeight="1">
      <c r="A88" s="470"/>
      <c r="B88" s="477"/>
      <c r="C88" s="478"/>
      <c r="D88" s="478"/>
      <c r="E88" s="479" t="s">
        <v>204</v>
      </c>
      <c r="F88" s="479"/>
      <c r="G88" s="479"/>
      <c r="H88" s="479"/>
      <c r="I88" s="481">
        <v>1</v>
      </c>
      <c r="J88" s="479"/>
      <c r="K88" s="479"/>
      <c r="L88" s="479"/>
      <c r="M88" s="479"/>
      <c r="N88" s="482">
        <v>4</v>
      </c>
      <c r="O88" s="481" t="s">
        <v>56</v>
      </c>
      <c r="P88" s="483">
        <v>0.012</v>
      </c>
      <c r="Q88" s="483">
        <f>P88*N88</f>
        <v>0.048</v>
      </c>
      <c r="R88" s="483"/>
      <c r="S88" s="483">
        <f t="shared" si="35"/>
        <v>0</v>
      </c>
      <c r="T88" s="482">
        <v>2</v>
      </c>
      <c r="U88" s="482">
        <v>2</v>
      </c>
      <c r="V88" s="482">
        <v>5</v>
      </c>
      <c r="W88" s="482">
        <v>5</v>
      </c>
      <c r="X88" s="482">
        <v>20</v>
      </c>
      <c r="Y88" s="482"/>
      <c r="Z88" s="482"/>
      <c r="AA88" s="482"/>
      <c r="AB88" s="482"/>
      <c r="AC88" s="484">
        <f t="shared" si="36"/>
        <v>29.893440000000002</v>
      </c>
      <c r="AD88" s="485">
        <f t="shared" si="41"/>
        <v>8</v>
      </c>
      <c r="AE88" s="482">
        <f t="shared" si="41"/>
        <v>8</v>
      </c>
      <c r="AF88" s="482">
        <f t="shared" si="37"/>
        <v>2</v>
      </c>
      <c r="AG88" s="486">
        <f t="shared" si="38"/>
        <v>18</v>
      </c>
      <c r="AH88" s="487">
        <f t="shared" si="39"/>
        <v>35.2742592</v>
      </c>
      <c r="AJ88" s="476">
        <f t="shared" si="40"/>
        <v>18</v>
      </c>
    </row>
    <row r="89" spans="1:36" s="476" customFormat="1" ht="15">
      <c r="A89" s="470"/>
      <c r="B89" s="477"/>
      <c r="C89" s="478"/>
      <c r="D89" s="478"/>
      <c r="E89" s="479" t="s">
        <v>93</v>
      </c>
      <c r="F89" s="479"/>
      <c r="G89" s="479"/>
      <c r="H89" s="479"/>
      <c r="I89" s="481">
        <v>1</v>
      </c>
      <c r="J89" s="479"/>
      <c r="K89" s="479"/>
      <c r="L89" s="479"/>
      <c r="M89" s="479"/>
      <c r="N89" s="482"/>
      <c r="O89" s="481"/>
      <c r="P89" s="483"/>
      <c r="Q89" s="483">
        <f>P89*N89</f>
        <v>0</v>
      </c>
      <c r="R89" s="483"/>
      <c r="S89" s="483">
        <f t="shared" si="35"/>
        <v>0</v>
      </c>
      <c r="T89" s="482">
        <v>1</v>
      </c>
      <c r="U89" s="482"/>
      <c r="V89" s="482">
        <v>5</v>
      </c>
      <c r="W89" s="482">
        <v>5</v>
      </c>
      <c r="X89" s="482"/>
      <c r="Y89" s="482"/>
      <c r="Z89" s="482"/>
      <c r="AA89" s="482"/>
      <c r="AB89" s="482"/>
      <c r="AC89" s="484">
        <f t="shared" si="36"/>
        <v>13.536000000000001</v>
      </c>
      <c r="AD89" s="485">
        <f t="shared" si="41"/>
        <v>8</v>
      </c>
      <c r="AE89" s="482">
        <f t="shared" si="41"/>
        <v>8</v>
      </c>
      <c r="AF89" s="482">
        <f t="shared" si="37"/>
        <v>2</v>
      </c>
      <c r="AG89" s="486">
        <f t="shared" si="38"/>
        <v>18</v>
      </c>
      <c r="AH89" s="487">
        <f t="shared" si="39"/>
        <v>15.972480000000001</v>
      </c>
      <c r="AJ89" s="476">
        <f t="shared" si="40"/>
        <v>17.999999999999996</v>
      </c>
    </row>
    <row r="90" spans="1:36" s="476" customFormat="1" ht="36">
      <c r="A90" s="470"/>
      <c r="B90" s="477"/>
      <c r="C90" s="478"/>
      <c r="D90" s="478"/>
      <c r="E90" s="479" t="s">
        <v>203</v>
      </c>
      <c r="F90" s="479"/>
      <c r="G90" s="479"/>
      <c r="H90" s="479"/>
      <c r="I90" s="481">
        <v>1</v>
      </c>
      <c r="J90" s="479"/>
      <c r="K90" s="479"/>
      <c r="L90" s="479"/>
      <c r="M90" s="479"/>
      <c r="N90" s="482">
        <v>1</v>
      </c>
      <c r="O90" s="481" t="s">
        <v>102</v>
      </c>
      <c r="P90" s="483">
        <v>4</v>
      </c>
      <c r="Q90" s="483">
        <f>P90*N90</f>
        <v>4</v>
      </c>
      <c r="R90" s="483"/>
      <c r="S90" s="483">
        <f t="shared" si="35"/>
        <v>0</v>
      </c>
      <c r="T90" s="482">
        <v>5</v>
      </c>
      <c r="U90" s="482">
        <v>10</v>
      </c>
      <c r="V90" s="482">
        <v>5</v>
      </c>
      <c r="W90" s="482">
        <v>5</v>
      </c>
      <c r="X90" s="482">
        <v>20</v>
      </c>
      <c r="Y90" s="482"/>
      <c r="Z90" s="482">
        <v>2</v>
      </c>
      <c r="AA90" s="482">
        <v>2</v>
      </c>
      <c r="AB90" s="482">
        <v>2</v>
      </c>
      <c r="AC90" s="484">
        <f t="shared" si="36"/>
        <v>52.51200000000001</v>
      </c>
      <c r="AD90" s="485">
        <f t="shared" si="41"/>
        <v>8</v>
      </c>
      <c r="AE90" s="482">
        <f t="shared" si="41"/>
        <v>8</v>
      </c>
      <c r="AF90" s="482">
        <f t="shared" si="37"/>
        <v>2</v>
      </c>
      <c r="AG90" s="486">
        <f t="shared" si="38"/>
        <v>18</v>
      </c>
      <c r="AH90" s="487">
        <f t="shared" si="39"/>
        <v>61.96416000000001</v>
      </c>
      <c r="AJ90" s="476">
        <f t="shared" si="40"/>
        <v>17.999999999999996</v>
      </c>
    </row>
    <row r="91" spans="1:34" s="469" customFormat="1" ht="15.75" thickBot="1">
      <c r="A91" s="193"/>
      <c r="B91" s="194" t="s">
        <v>110</v>
      </c>
      <c r="C91" s="195" t="s">
        <v>110</v>
      </c>
      <c r="E91" s="461"/>
      <c r="F91" s="461"/>
      <c r="G91" s="461"/>
      <c r="H91" s="461"/>
      <c r="I91" s="462"/>
      <c r="J91" s="461"/>
      <c r="K91" s="461"/>
      <c r="L91" s="461"/>
      <c r="M91" s="461"/>
      <c r="N91" s="463"/>
      <c r="O91" s="462"/>
      <c r="P91" s="464"/>
      <c r="Q91" s="464"/>
      <c r="R91" s="464"/>
      <c r="S91" s="464"/>
      <c r="T91" s="463"/>
      <c r="U91" s="463"/>
      <c r="V91" s="463"/>
      <c r="W91" s="463"/>
      <c r="X91" s="463"/>
      <c r="Y91" s="463"/>
      <c r="Z91" s="463"/>
      <c r="AA91" s="463"/>
      <c r="AB91" s="463"/>
      <c r="AC91" s="465"/>
      <c r="AD91" s="468"/>
      <c r="AE91" s="463"/>
      <c r="AF91" s="463"/>
      <c r="AG91" s="466"/>
      <c r="AH91" s="467"/>
    </row>
    <row r="92" spans="1:194" s="21" customFormat="1" ht="31.5" thickBot="1" thickTop="1">
      <c r="A92" s="165" t="s">
        <v>154</v>
      </c>
      <c r="B92" s="166">
        <f>SUM(C93,C104,C107,C112)</f>
        <v>1405.784</v>
      </c>
      <c r="C92" s="166">
        <f>SUM(D93,D104,D107,D112)</f>
        <v>1729.45808</v>
      </c>
      <c r="D92" s="168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6"/>
      <c r="AD92" s="135"/>
      <c r="AE92" s="135"/>
      <c r="AF92" s="135"/>
      <c r="AG92" s="135"/>
      <c r="AH92" s="137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</row>
    <row r="93" spans="1:34" ht="15">
      <c r="A93" s="173"/>
      <c r="B93" s="170" t="s">
        <v>162</v>
      </c>
      <c r="C93" s="171">
        <f>SUM(AC94:AC103)</f>
        <v>325.08000000000004</v>
      </c>
      <c r="D93" s="172">
        <f>SUM(AH94:AH103)</f>
        <v>383.5944000000002</v>
      </c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1"/>
      <c r="AD93" s="80"/>
      <c r="AE93" s="80"/>
      <c r="AF93" s="80"/>
      <c r="AG93" s="80"/>
      <c r="AH93" s="138"/>
    </row>
    <row r="94" spans="1:34" s="61" customFormat="1" ht="45">
      <c r="A94" s="184"/>
      <c r="B94" s="185"/>
      <c r="C94" s="186"/>
      <c r="D94" s="203" t="s">
        <v>57</v>
      </c>
      <c r="E94" s="62" t="s">
        <v>58</v>
      </c>
      <c r="F94" s="54"/>
      <c r="G94" s="55"/>
      <c r="H94" s="55"/>
      <c r="I94" s="56">
        <v>1</v>
      </c>
      <c r="J94" s="54"/>
      <c r="K94" s="54"/>
      <c r="L94" s="54"/>
      <c r="M94" s="54"/>
      <c r="N94" s="57"/>
      <c r="O94" s="56"/>
      <c r="P94" s="58"/>
      <c r="Q94" s="58">
        <f aca="true" t="shared" si="42" ref="Q94:Q103">P94*N94</f>
        <v>0</v>
      </c>
      <c r="R94" s="58"/>
      <c r="S94" s="58">
        <f t="shared" si="32"/>
        <v>0</v>
      </c>
      <c r="T94" s="63">
        <v>80</v>
      </c>
      <c r="U94" s="63">
        <v>80</v>
      </c>
      <c r="V94" s="57"/>
      <c r="W94" s="57"/>
      <c r="X94" s="57"/>
      <c r="Y94" s="64"/>
      <c r="Z94" s="57"/>
      <c r="AA94" s="57"/>
      <c r="AB94" s="57"/>
      <c r="AC94" s="77">
        <f aca="true" t="shared" si="43" ref="AC94:AC105">((Q94+Y94)*GA+(T94+V94+Z94)*EEEM+(W94+AA94)*EESM+(U94*DM)+(X94+AB94)*EETB)*I94</f>
        <v>180.48000000000002</v>
      </c>
      <c r="AD94" s="59">
        <f t="shared" si="33"/>
        <v>8</v>
      </c>
      <c r="AE94" s="57">
        <f t="shared" si="33"/>
        <v>8</v>
      </c>
      <c r="AF94" s="57">
        <f t="shared" si="34"/>
        <v>2</v>
      </c>
      <c r="AG94" s="60">
        <f t="shared" si="30"/>
        <v>18</v>
      </c>
      <c r="AH94" s="159">
        <f t="shared" si="31"/>
        <v>212.96640000000002</v>
      </c>
    </row>
    <row r="95" spans="1:34" ht="24">
      <c r="A95" s="173"/>
      <c r="B95" s="174"/>
      <c r="D95" s="204" t="s">
        <v>59</v>
      </c>
      <c r="E95" s="26" t="s">
        <v>60</v>
      </c>
      <c r="G95" s="38"/>
      <c r="I95" s="8">
        <v>1</v>
      </c>
      <c r="Q95" s="2">
        <f t="shared" si="42"/>
        <v>0</v>
      </c>
      <c r="S95" s="2">
        <f t="shared" si="32"/>
        <v>0</v>
      </c>
      <c r="T95" s="7">
        <v>5</v>
      </c>
      <c r="U95" s="7">
        <v>5</v>
      </c>
      <c r="Y95" s="25"/>
      <c r="AC95" s="74">
        <f t="shared" si="43"/>
        <v>11.280000000000001</v>
      </c>
      <c r="AD95" s="18">
        <f t="shared" si="33"/>
        <v>8</v>
      </c>
      <c r="AE95" s="3">
        <f t="shared" si="33"/>
        <v>8</v>
      </c>
      <c r="AF95" s="3">
        <f t="shared" si="34"/>
        <v>2</v>
      </c>
      <c r="AG95" s="23">
        <f t="shared" si="30"/>
        <v>18</v>
      </c>
      <c r="AH95" s="139">
        <f t="shared" si="31"/>
        <v>13.310400000000001</v>
      </c>
    </row>
    <row r="96" spans="1:34" ht="24">
      <c r="A96" s="173"/>
      <c r="B96" s="174"/>
      <c r="D96" s="204" t="s">
        <v>61</v>
      </c>
      <c r="E96" s="26" t="s">
        <v>60</v>
      </c>
      <c r="G96" s="38"/>
      <c r="H96" s="38"/>
      <c r="I96" s="8">
        <v>1</v>
      </c>
      <c r="Q96" s="2">
        <f t="shared" si="42"/>
        <v>0</v>
      </c>
      <c r="S96" s="2">
        <f t="shared" si="32"/>
        <v>0</v>
      </c>
      <c r="T96" s="7">
        <v>5</v>
      </c>
      <c r="U96" s="7">
        <v>5</v>
      </c>
      <c r="Y96" s="25"/>
      <c r="AC96" s="74">
        <f t="shared" si="43"/>
        <v>11.280000000000001</v>
      </c>
      <c r="AD96" s="18">
        <f t="shared" si="33"/>
        <v>8</v>
      </c>
      <c r="AE96" s="3">
        <f t="shared" si="33"/>
        <v>8</v>
      </c>
      <c r="AF96" s="3">
        <f t="shared" si="34"/>
        <v>2</v>
      </c>
      <c r="AG96" s="23">
        <f t="shared" si="30"/>
        <v>18</v>
      </c>
      <c r="AH96" s="139">
        <f t="shared" si="31"/>
        <v>13.310400000000001</v>
      </c>
    </row>
    <row r="97" spans="1:34" ht="15">
      <c r="A97" s="173"/>
      <c r="B97" s="174"/>
      <c r="D97" s="204" t="s">
        <v>62</v>
      </c>
      <c r="E97" s="26" t="s">
        <v>63</v>
      </c>
      <c r="G97" s="38"/>
      <c r="I97" s="8">
        <v>1</v>
      </c>
      <c r="Q97" s="2">
        <f t="shared" si="42"/>
        <v>0</v>
      </c>
      <c r="S97" s="2">
        <f t="shared" si="32"/>
        <v>0</v>
      </c>
      <c r="T97" s="7">
        <v>5</v>
      </c>
      <c r="U97" s="7">
        <v>5</v>
      </c>
      <c r="Y97" s="25"/>
      <c r="AC97" s="74">
        <f t="shared" si="43"/>
        <v>11.280000000000001</v>
      </c>
      <c r="AD97" s="18">
        <f t="shared" si="33"/>
        <v>8</v>
      </c>
      <c r="AE97" s="3">
        <f t="shared" si="33"/>
        <v>8</v>
      </c>
      <c r="AF97" s="3">
        <f t="shared" si="34"/>
        <v>2</v>
      </c>
      <c r="AG97" s="23">
        <f t="shared" si="30"/>
        <v>18</v>
      </c>
      <c r="AH97" s="139">
        <f t="shared" si="31"/>
        <v>13.310400000000001</v>
      </c>
    </row>
    <row r="98" spans="1:34" ht="15">
      <c r="A98" s="173"/>
      <c r="B98" s="174"/>
      <c r="D98" s="204" t="s">
        <v>76</v>
      </c>
      <c r="E98" s="26" t="s">
        <v>64</v>
      </c>
      <c r="G98" s="38"/>
      <c r="I98" s="8">
        <v>1</v>
      </c>
      <c r="Q98" s="2">
        <f t="shared" si="42"/>
        <v>0</v>
      </c>
      <c r="S98" s="2">
        <f t="shared" si="32"/>
        <v>0</v>
      </c>
      <c r="T98" s="7">
        <v>5</v>
      </c>
      <c r="U98" s="7">
        <v>5</v>
      </c>
      <c r="Y98" s="25"/>
      <c r="AC98" s="74">
        <f t="shared" si="43"/>
        <v>11.280000000000001</v>
      </c>
      <c r="AD98" s="18">
        <f t="shared" si="33"/>
        <v>8</v>
      </c>
      <c r="AE98" s="3">
        <f t="shared" si="33"/>
        <v>8</v>
      </c>
      <c r="AF98" s="3">
        <f t="shared" si="34"/>
        <v>2</v>
      </c>
      <c r="AG98" s="23">
        <f t="shared" si="30"/>
        <v>18</v>
      </c>
      <c r="AH98" s="139">
        <f t="shared" si="31"/>
        <v>13.310400000000001</v>
      </c>
    </row>
    <row r="99" spans="1:34" ht="15">
      <c r="A99" s="173"/>
      <c r="B99" s="174"/>
      <c r="D99" s="204" t="s">
        <v>77</v>
      </c>
      <c r="E99" s="26" t="s">
        <v>168</v>
      </c>
      <c r="G99" s="38"/>
      <c r="H99" s="38"/>
      <c r="I99" s="8">
        <v>1</v>
      </c>
      <c r="Q99" s="2">
        <f t="shared" si="42"/>
        <v>0</v>
      </c>
      <c r="S99" s="2">
        <f>P99*R99</f>
        <v>0</v>
      </c>
      <c r="T99" s="7">
        <v>5</v>
      </c>
      <c r="U99" s="7">
        <v>5</v>
      </c>
      <c r="Y99" s="25"/>
      <c r="AC99" s="74">
        <f t="shared" si="43"/>
        <v>11.280000000000001</v>
      </c>
      <c r="AD99" s="18">
        <f t="shared" si="33"/>
        <v>8</v>
      </c>
      <c r="AE99" s="3">
        <f t="shared" si="33"/>
        <v>8</v>
      </c>
      <c r="AF99" s="3">
        <f t="shared" si="34"/>
        <v>2</v>
      </c>
      <c r="AG99" s="23">
        <f>IF(AC99=0,"",AD99+AE99+AF99)</f>
        <v>18</v>
      </c>
      <c r="AH99" s="139">
        <f>IF(AG99="",0,AC99*(1+AG99/100))</f>
        <v>13.310400000000001</v>
      </c>
    </row>
    <row r="100" spans="1:34" ht="15">
      <c r="A100" s="173"/>
      <c r="B100" s="174"/>
      <c r="D100" s="204" t="s">
        <v>77</v>
      </c>
      <c r="E100" s="26" t="s">
        <v>169</v>
      </c>
      <c r="G100" s="38"/>
      <c r="H100" s="38"/>
      <c r="I100" s="8">
        <v>1</v>
      </c>
      <c r="Q100" s="2">
        <f t="shared" si="42"/>
        <v>0</v>
      </c>
      <c r="S100" s="2">
        <f t="shared" si="32"/>
        <v>0</v>
      </c>
      <c r="T100" s="7">
        <v>5</v>
      </c>
      <c r="U100" s="7">
        <v>5</v>
      </c>
      <c r="Y100" s="25"/>
      <c r="AC100" s="74">
        <f t="shared" si="43"/>
        <v>11.280000000000001</v>
      </c>
      <c r="AD100" s="18">
        <f t="shared" si="33"/>
        <v>8</v>
      </c>
      <c r="AE100" s="3">
        <f t="shared" si="33"/>
        <v>8</v>
      </c>
      <c r="AF100" s="3">
        <f t="shared" si="34"/>
        <v>2</v>
      </c>
      <c r="AG100" s="23">
        <f t="shared" si="30"/>
        <v>18</v>
      </c>
      <c r="AH100" s="139">
        <f t="shared" si="31"/>
        <v>13.310400000000001</v>
      </c>
    </row>
    <row r="101" spans="1:34" ht="15">
      <c r="A101" s="173"/>
      <c r="B101" s="174"/>
      <c r="D101" s="204" t="s">
        <v>170</v>
      </c>
      <c r="E101" s="26" t="s">
        <v>171</v>
      </c>
      <c r="G101" s="38"/>
      <c r="H101" s="38"/>
      <c r="I101" s="8">
        <v>1</v>
      </c>
      <c r="Q101" s="2">
        <f t="shared" si="42"/>
        <v>0</v>
      </c>
      <c r="S101" s="2">
        <f t="shared" si="32"/>
        <v>0</v>
      </c>
      <c r="T101" s="7">
        <v>5</v>
      </c>
      <c r="U101" s="7">
        <v>5</v>
      </c>
      <c r="Y101" s="25"/>
      <c r="AC101" s="74">
        <f t="shared" si="43"/>
        <v>11.280000000000001</v>
      </c>
      <c r="AD101" s="18">
        <f t="shared" si="33"/>
        <v>8</v>
      </c>
      <c r="AE101" s="3">
        <f t="shared" si="33"/>
        <v>8</v>
      </c>
      <c r="AF101" s="3">
        <f t="shared" si="34"/>
        <v>2</v>
      </c>
      <c r="AG101" s="23">
        <f t="shared" si="30"/>
        <v>18</v>
      </c>
      <c r="AH101" s="139">
        <f t="shared" si="31"/>
        <v>13.310400000000001</v>
      </c>
    </row>
    <row r="102" spans="1:34" ht="48">
      <c r="A102" s="173"/>
      <c r="B102" s="174"/>
      <c r="D102" s="204" t="s">
        <v>78</v>
      </c>
      <c r="E102" s="26" t="s">
        <v>68</v>
      </c>
      <c r="G102" s="38"/>
      <c r="H102" s="38"/>
      <c r="I102" s="8">
        <v>1</v>
      </c>
      <c r="Q102" s="2">
        <f t="shared" si="42"/>
        <v>0</v>
      </c>
      <c r="S102" s="2">
        <f t="shared" si="32"/>
        <v>0</v>
      </c>
      <c r="T102" s="7">
        <v>5</v>
      </c>
      <c r="U102" s="7">
        <v>5</v>
      </c>
      <c r="Y102" s="25"/>
      <c r="AC102" s="74">
        <f t="shared" si="43"/>
        <v>11.280000000000001</v>
      </c>
      <c r="AD102" s="18">
        <f t="shared" si="33"/>
        <v>8</v>
      </c>
      <c r="AE102" s="3">
        <f t="shared" si="33"/>
        <v>8</v>
      </c>
      <c r="AF102" s="3">
        <f t="shared" si="34"/>
        <v>2</v>
      </c>
      <c r="AG102" s="23">
        <f t="shared" si="30"/>
        <v>18</v>
      </c>
      <c r="AH102" s="139">
        <f t="shared" si="31"/>
        <v>13.310400000000001</v>
      </c>
    </row>
    <row r="103" spans="1:34" ht="24.75" thickBot="1">
      <c r="A103" s="173"/>
      <c r="B103" s="196"/>
      <c r="C103" s="197"/>
      <c r="D103" s="205" t="s">
        <v>71</v>
      </c>
      <c r="E103" s="128" t="s">
        <v>72</v>
      </c>
      <c r="F103" s="115"/>
      <c r="G103" s="127"/>
      <c r="H103" s="127"/>
      <c r="I103" s="116">
        <v>1</v>
      </c>
      <c r="J103" s="115"/>
      <c r="K103" s="115"/>
      <c r="L103" s="115"/>
      <c r="M103" s="115"/>
      <c r="N103" s="117"/>
      <c r="O103" s="116"/>
      <c r="P103" s="118"/>
      <c r="Q103" s="118">
        <f t="shared" si="42"/>
        <v>0</v>
      </c>
      <c r="R103" s="118"/>
      <c r="S103" s="118">
        <f t="shared" si="32"/>
        <v>0</v>
      </c>
      <c r="T103" s="129">
        <v>40</v>
      </c>
      <c r="U103" s="129">
        <v>1</v>
      </c>
      <c r="V103" s="117"/>
      <c r="W103" s="117"/>
      <c r="X103" s="117"/>
      <c r="Y103" s="130"/>
      <c r="Z103" s="117"/>
      <c r="AA103" s="117"/>
      <c r="AB103" s="117"/>
      <c r="AC103" s="119">
        <f t="shared" si="43"/>
        <v>54.36000000000001</v>
      </c>
      <c r="AD103" s="120">
        <f t="shared" si="33"/>
        <v>8</v>
      </c>
      <c r="AE103" s="117">
        <f t="shared" si="33"/>
        <v>8</v>
      </c>
      <c r="AF103" s="117">
        <f t="shared" si="34"/>
        <v>2</v>
      </c>
      <c r="AG103" s="121">
        <f t="shared" si="30"/>
        <v>18</v>
      </c>
      <c r="AH103" s="152">
        <f t="shared" si="31"/>
        <v>64.1448</v>
      </c>
    </row>
    <row r="104" spans="1:34" ht="30">
      <c r="A104" s="173"/>
      <c r="B104" s="170" t="s">
        <v>65</v>
      </c>
      <c r="C104" s="171">
        <f>SUM(AC105:AC106)</f>
        <v>774.0000000000001</v>
      </c>
      <c r="D104" s="172">
        <f>SUM(AH105:AH106)</f>
        <v>975.2400000000001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131"/>
      <c r="U104" s="80"/>
      <c r="V104" s="80"/>
      <c r="W104" s="80"/>
      <c r="X104" s="80"/>
      <c r="Y104" s="80"/>
      <c r="Z104" s="80"/>
      <c r="AA104" s="80"/>
      <c r="AB104" s="80"/>
      <c r="AC104" s="81"/>
      <c r="AD104" s="80"/>
      <c r="AE104" s="80"/>
      <c r="AF104" s="80"/>
      <c r="AG104" s="80"/>
      <c r="AH104" s="138"/>
    </row>
    <row r="105" spans="1:34" ht="48">
      <c r="A105" s="173"/>
      <c r="B105" s="174"/>
      <c r="D105" s="164" t="s">
        <v>128</v>
      </c>
      <c r="E105" s="1" t="s">
        <v>139</v>
      </c>
      <c r="G105" s="38"/>
      <c r="H105" s="38"/>
      <c r="I105" s="8">
        <v>1</v>
      </c>
      <c r="N105" s="3">
        <v>10</v>
      </c>
      <c r="O105" s="8" t="s">
        <v>48</v>
      </c>
      <c r="P105" s="2">
        <v>5</v>
      </c>
      <c r="Q105" s="2">
        <f>P105*N105</f>
        <v>50</v>
      </c>
      <c r="S105" s="2">
        <f>P105*R105</f>
        <v>0</v>
      </c>
      <c r="T105" s="3">
        <v>10</v>
      </c>
      <c r="U105" s="3">
        <v>80</v>
      </c>
      <c r="V105" s="3">
        <v>10</v>
      </c>
      <c r="W105" s="3">
        <v>10</v>
      </c>
      <c r="X105" s="3">
        <v>80</v>
      </c>
      <c r="Y105" s="3">
        <v>40</v>
      </c>
      <c r="Z105" s="3">
        <v>5</v>
      </c>
      <c r="AA105" s="3">
        <v>10</v>
      </c>
      <c r="AB105" s="3">
        <v>50</v>
      </c>
      <c r="AC105" s="77">
        <f t="shared" si="43"/>
        <v>329.56000000000006</v>
      </c>
      <c r="AD105" s="18">
        <f>4*4</f>
        <v>16</v>
      </c>
      <c r="AE105" s="3">
        <f t="shared" si="33"/>
        <v>8</v>
      </c>
      <c r="AF105" s="3">
        <f t="shared" si="34"/>
        <v>2</v>
      </c>
      <c r="AG105" s="23">
        <f>IF(AC105=0,"",AD105+AE105+AF105)</f>
        <v>26</v>
      </c>
      <c r="AH105" s="139">
        <f>IF(AG105="",0,AC105*(1+AG105/100))</f>
        <v>415.2456000000001</v>
      </c>
    </row>
    <row r="106" spans="1:34" ht="48.75" thickBot="1">
      <c r="A106" s="173"/>
      <c r="B106" s="196"/>
      <c r="C106" s="197"/>
      <c r="D106" s="197" t="s">
        <v>74</v>
      </c>
      <c r="E106" s="115" t="s">
        <v>139</v>
      </c>
      <c r="F106" s="115"/>
      <c r="G106" s="127"/>
      <c r="H106" s="127"/>
      <c r="I106" s="459">
        <v>1</v>
      </c>
      <c r="J106" s="115"/>
      <c r="K106" s="115"/>
      <c r="L106" s="115"/>
      <c r="M106" s="115"/>
      <c r="N106" s="117">
        <v>100</v>
      </c>
      <c r="O106" s="116" t="s">
        <v>75</v>
      </c>
      <c r="P106" s="118">
        <v>0.2</v>
      </c>
      <c r="Q106" s="118">
        <f>P106*N106</f>
        <v>20</v>
      </c>
      <c r="R106" s="118"/>
      <c r="S106" s="118">
        <f>P106*R106</f>
        <v>0</v>
      </c>
      <c r="T106" s="117">
        <v>25</v>
      </c>
      <c r="U106" s="117">
        <v>100</v>
      </c>
      <c r="V106" s="117">
        <v>15</v>
      </c>
      <c r="W106" s="117">
        <v>20</v>
      </c>
      <c r="X106" s="117">
        <v>100</v>
      </c>
      <c r="Y106" s="117">
        <v>80</v>
      </c>
      <c r="Z106" s="117">
        <v>5</v>
      </c>
      <c r="AA106" s="117">
        <v>10</v>
      </c>
      <c r="AB106" s="117">
        <v>100</v>
      </c>
      <c r="AC106" s="119">
        <f>((Q106+Y106)*GA+(T106+V106+Z106)*EEEM+(W106+AA106)*EESM+(U106*DM)+(X106+AB106)*EETB)*I106</f>
        <v>444.44000000000005</v>
      </c>
      <c r="AD106" s="120">
        <f>4*4</f>
        <v>16</v>
      </c>
      <c r="AE106" s="117">
        <f t="shared" si="33"/>
        <v>8</v>
      </c>
      <c r="AF106" s="117">
        <f t="shared" si="34"/>
        <v>2</v>
      </c>
      <c r="AG106" s="121">
        <f>IF(AC106=0,"",AD106+AE106+AF106)</f>
        <v>26</v>
      </c>
      <c r="AH106" s="152">
        <f>IF(AG106="",0,AC106*(1+AG106/100))</f>
        <v>559.9944</v>
      </c>
    </row>
    <row r="107" spans="1:34" s="49" customFormat="1" ht="30">
      <c r="A107" s="206"/>
      <c r="B107" s="207" t="s">
        <v>173</v>
      </c>
      <c r="C107" s="445">
        <f>SUM(AC108:AC111)</f>
        <v>108.912</v>
      </c>
      <c r="D107" s="446">
        <f>SUM(AH108:AH111)</f>
        <v>137.22912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3"/>
      <c r="U107" s="132"/>
      <c r="V107" s="132"/>
      <c r="W107" s="132"/>
      <c r="X107" s="132"/>
      <c r="Y107" s="132"/>
      <c r="Z107" s="132"/>
      <c r="AA107" s="132"/>
      <c r="AB107" s="132"/>
      <c r="AC107" s="134"/>
      <c r="AD107" s="132"/>
      <c r="AE107" s="132"/>
      <c r="AF107" s="132"/>
      <c r="AG107" s="132"/>
      <c r="AH107" s="160"/>
    </row>
    <row r="108" spans="1:34" s="49" customFormat="1" ht="60">
      <c r="A108" s="206"/>
      <c r="B108" s="190"/>
      <c r="C108" s="191" t="s">
        <v>178</v>
      </c>
      <c r="D108" s="191" t="s">
        <v>176</v>
      </c>
      <c r="E108" s="48" t="s">
        <v>174</v>
      </c>
      <c r="F108" s="48"/>
      <c r="G108" s="52"/>
      <c r="H108" s="52"/>
      <c r="I108" s="43">
        <v>1</v>
      </c>
      <c r="J108" s="48"/>
      <c r="K108" s="48"/>
      <c r="L108" s="48"/>
      <c r="M108" s="48"/>
      <c r="N108" s="50">
        <v>1</v>
      </c>
      <c r="O108" s="43" t="s">
        <v>50</v>
      </c>
      <c r="P108" s="37">
        <v>1</v>
      </c>
      <c r="Q108" s="37">
        <f>P108*N108</f>
        <v>1</v>
      </c>
      <c r="R108" s="37"/>
      <c r="S108" s="37">
        <f>P108*R108</f>
        <v>0</v>
      </c>
      <c r="T108" s="50">
        <v>8</v>
      </c>
      <c r="U108" s="50">
        <v>8</v>
      </c>
      <c r="V108" s="50">
        <v>2</v>
      </c>
      <c r="W108" s="50">
        <v>2</v>
      </c>
      <c r="X108" s="50">
        <v>12</v>
      </c>
      <c r="Y108" s="50"/>
      <c r="Z108" s="50"/>
      <c r="AA108" s="50"/>
      <c r="AB108" s="50"/>
      <c r="AC108" s="75">
        <f aca="true" t="shared" si="44" ref="AC108:AC113">((Q108+Y108)*GA+(T108+V108+Z108)*EEEM+(W108+AA108)*EESM+(U108*DM)+(X108+AB108)*EETB)*I108</f>
        <v>32.08</v>
      </c>
      <c r="AD108" s="51">
        <f>4*4</f>
        <v>16</v>
      </c>
      <c r="AE108" s="50">
        <f t="shared" si="33"/>
        <v>8</v>
      </c>
      <c r="AF108" s="50">
        <f t="shared" si="34"/>
        <v>2</v>
      </c>
      <c r="AG108" s="47">
        <f>IF(AC108=0,"",AD108+AE108+AF108)</f>
        <v>26</v>
      </c>
      <c r="AH108" s="151">
        <f>IF(AG108="",0,AC108*(1+AG108/100))</f>
        <v>40.4208</v>
      </c>
    </row>
    <row r="109" spans="1:34" s="49" customFormat="1" ht="48">
      <c r="A109" s="206"/>
      <c r="B109" s="190"/>
      <c r="C109" s="191" t="s">
        <v>177</v>
      </c>
      <c r="D109" s="191" t="s">
        <v>184</v>
      </c>
      <c r="E109" s="48" t="s">
        <v>174</v>
      </c>
      <c r="F109" s="48"/>
      <c r="G109" s="52"/>
      <c r="H109" s="52"/>
      <c r="I109" s="43">
        <v>1</v>
      </c>
      <c r="J109" s="48"/>
      <c r="K109" s="48"/>
      <c r="L109" s="48"/>
      <c r="M109" s="48"/>
      <c r="N109" s="50">
        <v>1</v>
      </c>
      <c r="O109" s="43" t="s">
        <v>50</v>
      </c>
      <c r="P109" s="37">
        <v>0.5</v>
      </c>
      <c r="Q109" s="37">
        <v>0.5</v>
      </c>
      <c r="R109" s="37"/>
      <c r="S109" s="37">
        <f t="shared" si="32"/>
        <v>0</v>
      </c>
      <c r="T109" s="50"/>
      <c r="U109" s="50"/>
      <c r="V109" s="50"/>
      <c r="W109" s="50"/>
      <c r="X109" s="50">
        <v>30</v>
      </c>
      <c r="Y109" s="50"/>
      <c r="Z109" s="50"/>
      <c r="AA109" s="50"/>
      <c r="AB109" s="50"/>
      <c r="AC109" s="75">
        <f t="shared" si="44"/>
        <v>20.32</v>
      </c>
      <c r="AD109" s="51">
        <f>4*4</f>
        <v>16</v>
      </c>
      <c r="AE109" s="50">
        <f t="shared" si="33"/>
        <v>8</v>
      </c>
      <c r="AF109" s="50">
        <f t="shared" si="34"/>
        <v>2</v>
      </c>
      <c r="AG109" s="47">
        <f t="shared" si="30"/>
        <v>26</v>
      </c>
      <c r="AH109" s="151">
        <f t="shared" si="31"/>
        <v>25.6032</v>
      </c>
    </row>
    <row r="110" spans="1:34" s="49" customFormat="1" ht="48">
      <c r="A110" s="206"/>
      <c r="B110" s="190"/>
      <c r="C110" s="191" t="s">
        <v>182</v>
      </c>
      <c r="D110" s="191" t="s">
        <v>175</v>
      </c>
      <c r="E110" s="48" t="s">
        <v>174</v>
      </c>
      <c r="F110" s="48"/>
      <c r="G110" s="52"/>
      <c r="H110" s="52"/>
      <c r="I110" s="43">
        <v>1</v>
      </c>
      <c r="J110" s="48"/>
      <c r="K110" s="48"/>
      <c r="L110" s="48"/>
      <c r="M110" s="48"/>
      <c r="N110" s="50">
        <v>1</v>
      </c>
      <c r="O110" s="43" t="s">
        <v>50</v>
      </c>
      <c r="P110" s="37">
        <v>2</v>
      </c>
      <c r="Q110" s="37">
        <f>P110*N110</f>
        <v>2</v>
      </c>
      <c r="R110" s="37"/>
      <c r="S110" s="37">
        <f>P110*R110</f>
        <v>0</v>
      </c>
      <c r="T110" s="50">
        <v>2</v>
      </c>
      <c r="U110" s="50">
        <v>2</v>
      </c>
      <c r="V110" s="50">
        <v>1</v>
      </c>
      <c r="W110" s="50">
        <v>2</v>
      </c>
      <c r="X110" s="50">
        <v>6</v>
      </c>
      <c r="Y110" s="50"/>
      <c r="Z110" s="50"/>
      <c r="AA110" s="50"/>
      <c r="AB110" s="50"/>
      <c r="AC110" s="75">
        <f t="shared" si="44"/>
        <v>14.552</v>
      </c>
      <c r="AD110" s="51">
        <f>4*4</f>
        <v>16</v>
      </c>
      <c r="AE110" s="50">
        <f t="shared" si="33"/>
        <v>8</v>
      </c>
      <c r="AF110" s="50">
        <f t="shared" si="34"/>
        <v>2</v>
      </c>
      <c r="AG110" s="47">
        <f>IF(AC110=0,"",AD110+AE110+AF110)</f>
        <v>26</v>
      </c>
      <c r="AH110" s="151">
        <f>IF(AG110="",0,AC110*(1+AG110/100))</f>
        <v>18.33552</v>
      </c>
    </row>
    <row r="111" spans="1:34" s="49" customFormat="1" ht="36.75" thickBot="1">
      <c r="A111" s="206"/>
      <c r="B111" s="208"/>
      <c r="C111" s="209" t="s">
        <v>183</v>
      </c>
      <c r="D111" s="209" t="s">
        <v>179</v>
      </c>
      <c r="E111" s="90" t="s">
        <v>180</v>
      </c>
      <c r="F111" s="90" t="s">
        <v>181</v>
      </c>
      <c r="G111" s="91"/>
      <c r="H111" s="91"/>
      <c r="I111" s="92">
        <v>1</v>
      </c>
      <c r="J111" s="90"/>
      <c r="K111" s="90"/>
      <c r="L111" s="90"/>
      <c r="M111" s="90"/>
      <c r="N111" s="93">
        <v>1</v>
      </c>
      <c r="O111" s="92" t="s">
        <v>50</v>
      </c>
      <c r="P111" s="94">
        <v>5</v>
      </c>
      <c r="Q111" s="94">
        <v>5</v>
      </c>
      <c r="R111" s="94"/>
      <c r="S111" s="94">
        <f t="shared" si="32"/>
        <v>0</v>
      </c>
      <c r="T111" s="93">
        <v>1</v>
      </c>
      <c r="U111" s="93">
        <v>2</v>
      </c>
      <c r="V111" s="93">
        <v>4</v>
      </c>
      <c r="W111" s="93">
        <v>5</v>
      </c>
      <c r="X111" s="93">
        <v>25</v>
      </c>
      <c r="Y111" s="93">
        <v>4</v>
      </c>
      <c r="Z111" s="93"/>
      <c r="AA111" s="93"/>
      <c r="AB111" s="93"/>
      <c r="AC111" s="95">
        <f t="shared" si="44"/>
        <v>41.96</v>
      </c>
      <c r="AD111" s="96">
        <f>4*4</f>
        <v>16</v>
      </c>
      <c r="AE111" s="93">
        <f t="shared" si="33"/>
        <v>8</v>
      </c>
      <c r="AF111" s="93">
        <f t="shared" si="34"/>
        <v>2</v>
      </c>
      <c r="AG111" s="97">
        <f t="shared" si="30"/>
        <v>26</v>
      </c>
      <c r="AH111" s="161">
        <f t="shared" si="31"/>
        <v>52.8696</v>
      </c>
    </row>
    <row r="112" spans="1:34" ht="15.75" thickBot="1">
      <c r="A112" s="173"/>
      <c r="B112" s="170" t="s">
        <v>66</v>
      </c>
      <c r="C112" s="171">
        <f>SUM(AC113:AC124)</f>
        <v>197.79200000000003</v>
      </c>
      <c r="D112" s="172">
        <f>SUM(AH113:AH124)</f>
        <v>233.39456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104"/>
      <c r="U112" s="80"/>
      <c r="V112" s="80"/>
      <c r="W112" s="80"/>
      <c r="X112" s="80"/>
      <c r="Y112" s="80"/>
      <c r="Z112" s="80"/>
      <c r="AA112" s="80"/>
      <c r="AB112" s="80"/>
      <c r="AC112" s="95">
        <f t="shared" si="44"/>
        <v>0</v>
      </c>
      <c r="AD112" s="80"/>
      <c r="AE112" s="80"/>
      <c r="AF112" s="80"/>
      <c r="AG112" s="80"/>
      <c r="AH112" s="138"/>
    </row>
    <row r="113" spans="1:34" ht="15.75" thickBot="1">
      <c r="A113" s="173"/>
      <c r="B113" s="174"/>
      <c r="D113" s="164" t="s">
        <v>127</v>
      </c>
      <c r="I113" s="8">
        <v>1</v>
      </c>
      <c r="Q113" s="2">
        <f aca="true" t="shared" si="45" ref="Q113:Q123">P113*N113</f>
        <v>0</v>
      </c>
      <c r="S113" s="2">
        <f t="shared" si="32"/>
        <v>0</v>
      </c>
      <c r="AC113" s="95">
        <f t="shared" si="44"/>
        <v>0</v>
      </c>
      <c r="AD113" s="18" t="s">
        <v>110</v>
      </c>
      <c r="AE113" s="3" t="s">
        <v>110</v>
      </c>
      <c r="AF113" s="3" t="s">
        <v>110</v>
      </c>
      <c r="AG113" s="23">
        <f t="shared" si="30"/>
      </c>
      <c r="AH113" s="139">
        <f t="shared" si="31"/>
        <v>0</v>
      </c>
    </row>
    <row r="114" spans="1:34" s="19" customFormat="1" ht="15">
      <c r="A114" s="169"/>
      <c r="B114" s="210"/>
      <c r="C114" s="211"/>
      <c r="D114" s="211"/>
      <c r="E114" s="6" t="s">
        <v>79</v>
      </c>
      <c r="F114" s="6"/>
      <c r="G114" s="6"/>
      <c r="H114" s="6"/>
      <c r="I114" s="8">
        <v>1</v>
      </c>
      <c r="J114" s="6"/>
      <c r="K114" s="6"/>
      <c r="L114" s="6"/>
      <c r="M114" s="6"/>
      <c r="N114" s="22">
        <v>1</v>
      </c>
      <c r="O114" s="24" t="s">
        <v>50</v>
      </c>
      <c r="P114" s="20">
        <v>25</v>
      </c>
      <c r="Q114" s="20">
        <f t="shared" si="45"/>
        <v>25</v>
      </c>
      <c r="R114" s="20"/>
      <c r="S114" s="20">
        <f t="shared" si="32"/>
        <v>0</v>
      </c>
      <c r="T114" s="22"/>
      <c r="U114" s="22"/>
      <c r="V114" s="22"/>
      <c r="W114" s="22"/>
      <c r="X114" s="22"/>
      <c r="Y114" s="22"/>
      <c r="Z114" s="22"/>
      <c r="AA114" s="22"/>
      <c r="AB114" s="22"/>
      <c r="AC114" s="74">
        <f aca="true" t="shared" si="46" ref="AC114:AC122">((Q114+Y114)*GA+(T114+V114+Z114)*EEEM+(W114+AA114)*EESM+(U114*DM)+(X114+AB114)*EETB)*I114</f>
        <v>32</v>
      </c>
      <c r="AD114" s="23">
        <f t="shared" si="33"/>
        <v>8</v>
      </c>
      <c r="AE114" s="22">
        <f t="shared" si="33"/>
        <v>8</v>
      </c>
      <c r="AF114" s="22">
        <f t="shared" si="34"/>
        <v>2</v>
      </c>
      <c r="AG114" s="23">
        <f t="shared" si="30"/>
        <v>18</v>
      </c>
      <c r="AH114" s="139">
        <f t="shared" si="31"/>
        <v>37.76</v>
      </c>
    </row>
    <row r="115" spans="1:34" ht="30">
      <c r="A115" s="173"/>
      <c r="B115" s="174"/>
      <c r="D115" s="204" t="s">
        <v>69</v>
      </c>
      <c r="E115" s="26" t="s">
        <v>70</v>
      </c>
      <c r="G115" s="38"/>
      <c r="H115" s="38"/>
      <c r="I115" s="8">
        <v>1</v>
      </c>
      <c r="Q115" s="2">
        <f t="shared" si="45"/>
        <v>0</v>
      </c>
      <c r="S115" s="2">
        <f>P115*R115</f>
        <v>0</v>
      </c>
      <c r="T115" s="7">
        <v>20</v>
      </c>
      <c r="U115" s="7">
        <v>20</v>
      </c>
      <c r="Y115" s="25"/>
      <c r="AC115" s="74">
        <f t="shared" si="46"/>
        <v>45.120000000000005</v>
      </c>
      <c r="AD115" s="18">
        <f t="shared" si="33"/>
        <v>8</v>
      </c>
      <c r="AE115" s="3">
        <f t="shared" si="33"/>
        <v>8</v>
      </c>
      <c r="AF115" s="3">
        <f t="shared" si="34"/>
        <v>2</v>
      </c>
      <c r="AG115" s="23">
        <f>IF(AC115=0,"",AD115+AE115+AF115)</f>
        <v>18</v>
      </c>
      <c r="AH115" s="139">
        <f>IF(AG115="",0,AC115*(1+AG115/100))</f>
        <v>53.241600000000005</v>
      </c>
    </row>
    <row r="116" spans="1:34" ht="48">
      <c r="A116" s="173"/>
      <c r="B116" s="174"/>
      <c r="E116" s="1" t="s">
        <v>23</v>
      </c>
      <c r="G116" s="38"/>
      <c r="H116" s="38"/>
      <c r="I116" s="8">
        <v>1</v>
      </c>
      <c r="Q116" s="2">
        <f t="shared" si="45"/>
        <v>0</v>
      </c>
      <c r="S116" s="2">
        <f t="shared" si="32"/>
        <v>0</v>
      </c>
      <c r="Z116" s="3">
        <v>3</v>
      </c>
      <c r="AB116" s="3">
        <v>8</v>
      </c>
      <c r="AC116" s="74">
        <f t="shared" si="46"/>
        <v>9.256</v>
      </c>
      <c r="AD116" s="18">
        <f t="shared" si="33"/>
        <v>8</v>
      </c>
      <c r="AE116" s="3">
        <f t="shared" si="33"/>
        <v>8</v>
      </c>
      <c r="AF116" s="3">
        <f t="shared" si="34"/>
        <v>2</v>
      </c>
      <c r="AG116" s="23">
        <f t="shared" si="30"/>
        <v>18</v>
      </c>
      <c r="AH116" s="139">
        <f t="shared" si="31"/>
        <v>10.92208</v>
      </c>
    </row>
    <row r="117" spans="1:34" ht="24">
      <c r="A117" s="173"/>
      <c r="B117" s="174"/>
      <c r="E117" s="1" t="s">
        <v>35</v>
      </c>
      <c r="G117" s="38"/>
      <c r="H117" s="38"/>
      <c r="I117" s="8">
        <v>1</v>
      </c>
      <c r="Q117" s="2">
        <f t="shared" si="45"/>
        <v>0</v>
      </c>
      <c r="S117" s="2">
        <f t="shared" si="32"/>
        <v>0</v>
      </c>
      <c r="Z117" s="3">
        <v>3</v>
      </c>
      <c r="AB117" s="3">
        <v>8</v>
      </c>
      <c r="AC117" s="74">
        <f t="shared" si="46"/>
        <v>9.256</v>
      </c>
      <c r="AD117" s="18">
        <f t="shared" si="33"/>
        <v>8</v>
      </c>
      <c r="AE117" s="3">
        <f t="shared" si="33"/>
        <v>8</v>
      </c>
      <c r="AF117" s="3">
        <f t="shared" si="34"/>
        <v>2</v>
      </c>
      <c r="AG117" s="23">
        <f t="shared" si="30"/>
        <v>18</v>
      </c>
      <c r="AH117" s="139">
        <f t="shared" si="31"/>
        <v>10.92208</v>
      </c>
    </row>
    <row r="118" spans="1:34" ht="24">
      <c r="A118" s="173"/>
      <c r="B118" s="174"/>
      <c r="E118" s="1" t="s">
        <v>36</v>
      </c>
      <c r="G118" s="38"/>
      <c r="H118" s="38"/>
      <c r="I118" s="8">
        <v>1</v>
      </c>
      <c r="Q118" s="2">
        <f t="shared" si="45"/>
        <v>0</v>
      </c>
      <c r="S118" s="2">
        <f t="shared" si="32"/>
        <v>0</v>
      </c>
      <c r="Z118" s="3">
        <v>2</v>
      </c>
      <c r="AB118" s="3">
        <v>3</v>
      </c>
      <c r="AC118" s="74">
        <f t="shared" si="46"/>
        <v>4.640000000000001</v>
      </c>
      <c r="AD118" s="18">
        <f t="shared" si="33"/>
        <v>8</v>
      </c>
      <c r="AE118" s="3">
        <f t="shared" si="33"/>
        <v>8</v>
      </c>
      <c r="AF118" s="3">
        <f t="shared" si="34"/>
        <v>2</v>
      </c>
      <c r="AG118" s="23">
        <f t="shared" si="30"/>
        <v>18</v>
      </c>
      <c r="AH118" s="139">
        <f t="shared" si="31"/>
        <v>5.4752</v>
      </c>
    </row>
    <row r="119" spans="1:34" ht="36">
      <c r="A119" s="173"/>
      <c r="B119" s="174"/>
      <c r="E119" s="1" t="s">
        <v>38</v>
      </c>
      <c r="G119" s="38"/>
      <c r="H119" s="38"/>
      <c r="I119" s="8">
        <v>1</v>
      </c>
      <c r="Q119" s="2">
        <f t="shared" si="45"/>
        <v>0</v>
      </c>
      <c r="S119" s="2">
        <f t="shared" si="32"/>
        <v>0</v>
      </c>
      <c r="Z119" s="3">
        <v>2</v>
      </c>
      <c r="AB119" s="3">
        <v>2</v>
      </c>
      <c r="AC119" s="74">
        <f t="shared" si="46"/>
        <v>3.984</v>
      </c>
      <c r="AD119" s="18">
        <f t="shared" si="33"/>
        <v>8</v>
      </c>
      <c r="AE119" s="3">
        <f t="shared" si="33"/>
        <v>8</v>
      </c>
      <c r="AF119" s="3">
        <f t="shared" si="34"/>
        <v>2</v>
      </c>
      <c r="AG119" s="23">
        <f t="shared" si="30"/>
        <v>18</v>
      </c>
      <c r="AH119" s="139">
        <f t="shared" si="31"/>
        <v>4.7011199999999995</v>
      </c>
    </row>
    <row r="120" spans="1:34" ht="36">
      <c r="A120" s="173"/>
      <c r="B120" s="174"/>
      <c r="E120" s="1" t="s">
        <v>37</v>
      </c>
      <c r="G120" s="38"/>
      <c r="H120" s="38"/>
      <c r="I120" s="8">
        <v>1</v>
      </c>
      <c r="Q120" s="2">
        <f t="shared" si="45"/>
        <v>0</v>
      </c>
      <c r="S120" s="2">
        <f t="shared" si="32"/>
        <v>0</v>
      </c>
      <c r="Z120" s="3">
        <v>3</v>
      </c>
      <c r="AB120" s="3">
        <v>3</v>
      </c>
      <c r="AC120" s="74">
        <f t="shared" si="46"/>
        <v>5.976</v>
      </c>
      <c r="AD120" s="18">
        <f t="shared" si="33"/>
        <v>8</v>
      </c>
      <c r="AE120" s="3">
        <f t="shared" si="33"/>
        <v>8</v>
      </c>
      <c r="AF120" s="3">
        <f t="shared" si="34"/>
        <v>2</v>
      </c>
      <c r="AG120" s="23">
        <f t="shared" si="30"/>
        <v>18</v>
      </c>
      <c r="AH120" s="139">
        <f t="shared" si="31"/>
        <v>7.051679999999999</v>
      </c>
    </row>
    <row r="121" spans="1:34" ht="24">
      <c r="A121" s="173"/>
      <c r="B121" s="174"/>
      <c r="E121" s="1" t="s">
        <v>39</v>
      </c>
      <c r="G121" s="38"/>
      <c r="H121" s="38"/>
      <c r="I121" s="8">
        <v>1</v>
      </c>
      <c r="Q121" s="2">
        <f t="shared" si="45"/>
        <v>0</v>
      </c>
      <c r="S121" s="2">
        <f t="shared" si="32"/>
        <v>0</v>
      </c>
      <c r="T121" s="3">
        <f>SUM(T113:T120)</f>
        <v>20</v>
      </c>
      <c r="Z121" s="3">
        <v>3</v>
      </c>
      <c r="AB121" s="3">
        <v>3</v>
      </c>
      <c r="AC121" s="74">
        <f t="shared" si="46"/>
        <v>32.696</v>
      </c>
      <c r="AD121" s="18">
        <f t="shared" si="33"/>
        <v>8</v>
      </c>
      <c r="AE121" s="3">
        <f t="shared" si="33"/>
        <v>8</v>
      </c>
      <c r="AF121" s="3">
        <f t="shared" si="34"/>
        <v>2</v>
      </c>
      <c r="AG121" s="23">
        <f t="shared" si="30"/>
        <v>18</v>
      </c>
      <c r="AH121" s="139">
        <f t="shared" si="31"/>
        <v>38.58127999999999</v>
      </c>
    </row>
    <row r="122" spans="1:34" s="469" customFormat="1" ht="24">
      <c r="A122" s="173"/>
      <c r="B122" s="174"/>
      <c r="C122" s="164"/>
      <c r="D122" s="164"/>
      <c r="E122" s="525" t="s">
        <v>40</v>
      </c>
      <c r="F122" s="525"/>
      <c r="G122" s="526"/>
      <c r="H122" s="526"/>
      <c r="I122" s="527">
        <v>1</v>
      </c>
      <c r="J122" s="525"/>
      <c r="K122" s="525"/>
      <c r="L122" s="525"/>
      <c r="M122" s="525"/>
      <c r="N122" s="528"/>
      <c r="O122" s="527"/>
      <c r="P122" s="529"/>
      <c r="Q122" s="529">
        <f t="shared" si="45"/>
        <v>0</v>
      </c>
      <c r="R122" s="529"/>
      <c r="S122" s="529">
        <f t="shared" si="32"/>
        <v>0</v>
      </c>
      <c r="T122" s="528"/>
      <c r="U122" s="528"/>
      <c r="V122" s="528"/>
      <c r="W122" s="528"/>
      <c r="X122" s="528"/>
      <c r="Y122" s="528"/>
      <c r="Z122" s="528">
        <v>2</v>
      </c>
      <c r="AA122" s="528"/>
      <c r="AB122" s="528">
        <v>2</v>
      </c>
      <c r="AC122" s="74">
        <f t="shared" si="46"/>
        <v>3.984</v>
      </c>
      <c r="AD122" s="530">
        <f t="shared" si="33"/>
        <v>8</v>
      </c>
      <c r="AE122" s="528">
        <f t="shared" si="33"/>
        <v>8</v>
      </c>
      <c r="AF122" s="528">
        <f t="shared" si="34"/>
        <v>2</v>
      </c>
      <c r="AG122" s="531">
        <f t="shared" si="30"/>
        <v>18</v>
      </c>
      <c r="AH122" s="532">
        <f t="shared" si="31"/>
        <v>4.7011199999999995</v>
      </c>
    </row>
    <row r="123" spans="1:34" ht="36">
      <c r="A123" s="173"/>
      <c r="B123" s="174"/>
      <c r="E123" s="1" t="s">
        <v>34</v>
      </c>
      <c r="G123" s="38"/>
      <c r="H123" s="38"/>
      <c r="I123" s="8">
        <v>1</v>
      </c>
      <c r="N123" s="3">
        <v>10</v>
      </c>
      <c r="O123" s="8" t="s">
        <v>122</v>
      </c>
      <c r="Q123" s="2">
        <f t="shared" si="45"/>
        <v>0</v>
      </c>
      <c r="S123" s="2">
        <f t="shared" si="32"/>
        <v>0</v>
      </c>
      <c r="T123" s="3">
        <f>SUM(S123)</f>
        <v>0</v>
      </c>
      <c r="Z123" s="3">
        <f>N123*2</f>
        <v>20</v>
      </c>
      <c r="AA123" s="3">
        <f>N123</f>
        <v>10</v>
      </c>
      <c r="AB123" s="3">
        <f>2*N123</f>
        <v>20</v>
      </c>
      <c r="AC123" s="74">
        <f>((Q123+Y123)*GA+(T123+V123+Z123)*EEEM+(W123+AA123)*EESM+(U123*DM)+(X123+AB123)*EETB)*I123</f>
        <v>50.88000000000001</v>
      </c>
      <c r="AD123" s="18">
        <f t="shared" si="33"/>
        <v>8</v>
      </c>
      <c r="AE123" s="3">
        <f t="shared" si="33"/>
        <v>8</v>
      </c>
      <c r="AF123" s="3">
        <f t="shared" si="34"/>
        <v>2</v>
      </c>
      <c r="AG123" s="23">
        <f t="shared" si="30"/>
        <v>18</v>
      </c>
      <c r="AH123" s="139">
        <f t="shared" si="31"/>
        <v>60.03840000000001</v>
      </c>
    </row>
    <row r="124" spans="1:34" s="36" customFormat="1" ht="15.75" thickBot="1">
      <c r="A124" s="200"/>
      <c r="B124" s="201"/>
      <c r="C124" s="202"/>
      <c r="D124" s="202"/>
      <c r="E124" s="153"/>
      <c r="F124" s="153"/>
      <c r="G124" s="153"/>
      <c r="H124" s="153"/>
      <c r="I124" s="154"/>
      <c r="J124" s="153"/>
      <c r="K124" s="153"/>
      <c r="L124" s="153"/>
      <c r="M124" s="153"/>
      <c r="N124" s="155"/>
      <c r="O124" s="154"/>
      <c r="P124" s="156"/>
      <c r="Q124" s="156"/>
      <c r="R124" s="156"/>
      <c r="S124" s="156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76"/>
      <c r="AD124" s="157"/>
      <c r="AE124" s="155"/>
      <c r="AF124" s="155"/>
      <c r="AG124" s="158">
        <f t="shared" si="30"/>
      </c>
      <c r="AH124" s="162"/>
    </row>
    <row r="125" spans="2:34" ht="15.75" thickTop="1">
      <c r="B125" s="164" t="s">
        <v>110</v>
      </c>
      <c r="D125" s="164" t="s">
        <v>106</v>
      </c>
      <c r="Q125" s="2">
        <f>SUM(Q6:Q124)</f>
        <v>898.6680000000001</v>
      </c>
      <c r="S125" s="2">
        <f aca="true" t="shared" si="47" ref="S125:AH125">SUM(S6:S124)</f>
        <v>53.5</v>
      </c>
      <c r="T125" s="18">
        <f t="shared" si="47"/>
        <v>713.5</v>
      </c>
      <c r="U125" s="18">
        <f t="shared" si="47"/>
        <v>1000</v>
      </c>
      <c r="V125" s="18">
        <f t="shared" si="47"/>
        <v>278</v>
      </c>
      <c r="W125" s="18">
        <f t="shared" si="47"/>
        <v>412</v>
      </c>
      <c r="X125" s="18">
        <f t="shared" si="47"/>
        <v>1079</v>
      </c>
      <c r="Y125" s="18">
        <f t="shared" si="47"/>
        <v>2177</v>
      </c>
      <c r="Z125" s="18">
        <f t="shared" si="47"/>
        <v>181</v>
      </c>
      <c r="AA125" s="18">
        <f t="shared" si="47"/>
        <v>165</v>
      </c>
      <c r="AB125" s="18">
        <f t="shared" si="47"/>
        <v>460</v>
      </c>
      <c r="AC125" s="18">
        <f t="shared" si="47"/>
        <v>8069.907039999997</v>
      </c>
      <c r="AD125" s="18"/>
      <c r="AF125" s="18"/>
      <c r="AG125" s="18"/>
      <c r="AH125" s="18">
        <f t="shared" si="47"/>
        <v>9910.634627200005</v>
      </c>
    </row>
    <row r="126" spans="1:28" ht="15">
      <c r="A126" s="163" t="s">
        <v>172</v>
      </c>
      <c r="T126" s="3">
        <f>T125*8</f>
        <v>5708</v>
      </c>
      <c r="U126" s="3">
        <f>U125*8</f>
        <v>8000</v>
      </c>
      <c r="V126" s="3">
        <f>V125*8</f>
        <v>2224</v>
      </c>
      <c r="W126" s="3">
        <f>W125*8</f>
        <v>3296</v>
      </c>
      <c r="X126" s="3">
        <f>X125*8</f>
        <v>8632</v>
      </c>
      <c r="Z126" s="3">
        <f>Z125*8</f>
        <v>1448</v>
      </c>
      <c r="AA126" s="3">
        <f>AA125*8</f>
        <v>1320</v>
      </c>
      <c r="AB126" s="3">
        <f>AB125*8</f>
        <v>3680</v>
      </c>
    </row>
    <row r="127" spans="1:34" ht="15">
      <c r="A127" s="163" t="s">
        <v>262</v>
      </c>
      <c r="P127" s="2" t="s">
        <v>31</v>
      </c>
      <c r="Q127" s="3">
        <f>Q125</f>
        <v>898.6680000000001</v>
      </c>
      <c r="R127" s="2" t="s">
        <v>32</v>
      </c>
      <c r="S127" s="2">
        <f>S125</f>
        <v>53.5</v>
      </c>
      <c r="X127" s="2" t="s">
        <v>33</v>
      </c>
      <c r="Y127" s="3">
        <f>Y125*GA</f>
        <v>2786.56</v>
      </c>
      <c r="AB127"/>
      <c r="AC127" s="78"/>
      <c r="AD127"/>
      <c r="AE127"/>
      <c r="AF127"/>
      <c r="AG127"/>
      <c r="AH127" s="69"/>
    </row>
    <row r="128" spans="17:34" ht="15">
      <c r="Q128" s="2" t="s">
        <v>110</v>
      </c>
      <c r="AB128" s="18"/>
      <c r="AC128" s="74" t="s">
        <v>25</v>
      </c>
      <c r="AD128" s="3" t="s">
        <v>26</v>
      </c>
      <c r="AE128" s="19" t="s">
        <v>27</v>
      </c>
      <c r="AF128" s="20" t="s">
        <v>28</v>
      </c>
      <c r="AG128" s="4" t="s">
        <v>29</v>
      </c>
      <c r="AH128" s="68" t="s">
        <v>30</v>
      </c>
    </row>
    <row r="129" spans="1:34" ht="24.75">
      <c r="A129" s="212" t="s">
        <v>132</v>
      </c>
      <c r="B129" s="460">
        <v>1.336</v>
      </c>
      <c r="D129" s="460"/>
      <c r="E129" s="213"/>
      <c r="N129" s="7"/>
      <c r="O129" s="3"/>
      <c r="Q129" s="2">
        <f>Q125*GA</f>
        <v>1150.2950400000002</v>
      </c>
      <c r="T129" s="3">
        <f>T125*EEEM+U125*DM</f>
        <v>1873.236</v>
      </c>
      <c r="V129" s="3">
        <f>V125*EEEM+W125*EESM+X125*EETB</f>
        <v>1534.0800000000002</v>
      </c>
      <c r="Y129" s="3">
        <f>Y127</f>
        <v>2786.56</v>
      </c>
      <c r="Z129" s="3">
        <f>Z125*EEEM+AA125*EESM+AB125*EETB</f>
        <v>725.736</v>
      </c>
      <c r="AA129" s="572" t="s">
        <v>187</v>
      </c>
      <c r="AB129" s="3" t="s">
        <v>132</v>
      </c>
      <c r="AC129" s="74">
        <f>T125+V125+Z125</f>
        <v>1172.5</v>
      </c>
      <c r="AD129" s="2">
        <f>EEEM</f>
        <v>1.336</v>
      </c>
      <c r="AE129" s="3">
        <f>AD129*AC129</f>
        <v>1566.46</v>
      </c>
      <c r="AF129" s="18">
        <f>AC129/220</f>
        <v>5.329545454545454</v>
      </c>
      <c r="AG129" s="4">
        <v>4</v>
      </c>
      <c r="AH129" s="68">
        <f>AF129/AG129</f>
        <v>1.3323863636363635</v>
      </c>
    </row>
    <row r="130" spans="1:34" ht="15.75">
      <c r="A130" s="212" t="s">
        <v>133</v>
      </c>
      <c r="B130" s="460">
        <v>1.104</v>
      </c>
      <c r="D130" s="460"/>
      <c r="E130" s="213"/>
      <c r="N130" s="7"/>
      <c r="O130" s="3"/>
      <c r="Q130" s="2" t="s">
        <v>110</v>
      </c>
      <c r="AB130" s="3" t="s">
        <v>133</v>
      </c>
      <c r="AC130" s="74">
        <f>W125+AA125</f>
        <v>577</v>
      </c>
      <c r="AD130" s="2">
        <f>EESM</f>
        <v>1.104</v>
      </c>
      <c r="AE130" s="3">
        <f>AD130*AC130</f>
        <v>637.008</v>
      </c>
      <c r="AF130" s="18">
        <f>AC130/220</f>
        <v>2.6227272727272726</v>
      </c>
      <c r="AG130" s="4">
        <v>2</v>
      </c>
      <c r="AH130" s="68">
        <f>AF130/AG130</f>
        <v>1.3113636363636363</v>
      </c>
    </row>
    <row r="131" spans="1:34" ht="15.75">
      <c r="A131" s="212" t="s">
        <v>134</v>
      </c>
      <c r="B131" s="460">
        <v>0.656</v>
      </c>
      <c r="D131" s="460"/>
      <c r="E131" s="213"/>
      <c r="N131" s="7"/>
      <c r="O131" s="3"/>
      <c r="Q131" s="2" t="s">
        <v>110</v>
      </c>
      <c r="T131" s="3">
        <f>SUM(Q129:Z129)</f>
        <v>8069.907040000001</v>
      </c>
      <c r="AB131" s="3" t="s">
        <v>134</v>
      </c>
      <c r="AC131" s="74">
        <f>X125+AB125</f>
        <v>1539</v>
      </c>
      <c r="AD131" s="2">
        <f>EETB</f>
        <v>0.656</v>
      </c>
      <c r="AE131" s="3">
        <f>AD131*AC131</f>
        <v>1009.5840000000001</v>
      </c>
      <c r="AF131" s="18">
        <f>AC131/220</f>
        <v>6.995454545454545</v>
      </c>
      <c r="AG131" s="4">
        <v>2</v>
      </c>
      <c r="AH131" s="68">
        <f>AF131/AG131</f>
        <v>3.4977272727272726</v>
      </c>
    </row>
    <row r="132" spans="1:34" ht="15.75">
      <c r="A132" s="212" t="s">
        <v>201</v>
      </c>
      <c r="B132" s="460">
        <v>1.28</v>
      </c>
      <c r="D132" s="460"/>
      <c r="E132" s="213"/>
      <c r="N132" s="7"/>
      <c r="O132" s="3"/>
      <c r="Q132" s="2">
        <f>SUM(Q129:Z129)</f>
        <v>8069.907040000001</v>
      </c>
      <c r="AB132" s="3" t="s">
        <v>186</v>
      </c>
      <c r="AC132" s="74">
        <f>U125</f>
        <v>1000</v>
      </c>
      <c r="AD132" s="2">
        <f>DM</f>
        <v>0.92</v>
      </c>
      <c r="AE132" s="3">
        <f>AD132*AC132</f>
        <v>920</v>
      </c>
      <c r="AF132" s="18">
        <f>AC132/220</f>
        <v>4.545454545454546</v>
      </c>
      <c r="AG132" s="4">
        <v>3</v>
      </c>
      <c r="AH132" s="68">
        <f>AF132/AG132</f>
        <v>1.5151515151515154</v>
      </c>
    </row>
    <row r="133" spans="1:34" s="27" customFormat="1" ht="15.75">
      <c r="A133" s="212" t="s">
        <v>223</v>
      </c>
      <c r="B133" s="460">
        <v>0.92</v>
      </c>
      <c r="C133" s="164"/>
      <c r="D133" s="460"/>
      <c r="E133" s="213"/>
      <c r="F133" s="1"/>
      <c r="G133" s="1"/>
      <c r="H133" s="1"/>
      <c r="I133" s="1"/>
      <c r="J133" s="1"/>
      <c r="K133" s="1"/>
      <c r="L133" s="1"/>
      <c r="M133" s="1"/>
      <c r="N133" s="3"/>
      <c r="O133" s="8"/>
      <c r="P133" s="2"/>
      <c r="Q133" s="2" t="s">
        <v>110</v>
      </c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74" t="s">
        <v>27</v>
      </c>
      <c r="AD133" s="2"/>
      <c r="AE133" s="3"/>
      <c r="AF133" s="18"/>
      <c r="AH133" s="70"/>
    </row>
    <row r="134" spans="28:34" ht="15.75" thickBot="1">
      <c r="AB134"/>
      <c r="AC134" s="79" t="e">
        <f>+#REF!-AC125</f>
        <v>#REF!</v>
      </c>
      <c r="AD134"/>
      <c r="AE134"/>
      <c r="AF134"/>
      <c r="AG134"/>
      <c r="AH134" s="69"/>
    </row>
    <row r="135" spans="1:8" ht="45.75" thickTop="1">
      <c r="A135" s="562"/>
      <c r="B135" s="563"/>
      <c r="C135" s="564"/>
      <c r="D135" s="565" t="s">
        <v>252</v>
      </c>
      <c r="E135" s="566" t="s">
        <v>249</v>
      </c>
      <c r="F135" s="539"/>
      <c r="G135" s="637"/>
      <c r="H135" s="641"/>
    </row>
    <row r="136" spans="1:29" ht="20.25">
      <c r="A136" s="567">
        <v>4</v>
      </c>
      <c r="B136" s="549" t="s">
        <v>224</v>
      </c>
      <c r="C136" s="550"/>
      <c r="D136" s="576">
        <f>AC125</f>
        <v>8069.907039999997</v>
      </c>
      <c r="E136" s="577">
        <f>AH125</f>
        <v>9910.634627200005</v>
      </c>
      <c r="F136" s="546"/>
      <c r="G136" s="642"/>
      <c r="H136" s="643"/>
      <c r="I136"/>
      <c r="J136"/>
      <c r="K136"/>
      <c r="L136"/>
      <c r="M136"/>
      <c r="N136"/>
      <c r="O136"/>
      <c r="P136"/>
      <c r="Q136" s="533">
        <f>Q92*GA</f>
        <v>0</v>
      </c>
      <c r="S136" s="2">
        <f>S92</f>
        <v>0</v>
      </c>
      <c r="T136" s="3">
        <f>T92*EEEM</f>
        <v>0</v>
      </c>
      <c r="U136" s="3">
        <f>U92*DM</f>
        <v>0</v>
      </c>
      <c r="V136" s="3">
        <f>V92*EEEM</f>
        <v>0</v>
      </c>
      <c r="W136" s="3">
        <f>W92*EESM</f>
        <v>0</v>
      </c>
      <c r="X136" s="3">
        <f>X92*EETB</f>
        <v>0</v>
      </c>
      <c r="Y136" s="3">
        <f>Y92*GA</f>
        <v>0</v>
      </c>
      <c r="Z136" s="3">
        <f>Z92*EEEM</f>
        <v>0</v>
      </c>
      <c r="AA136" s="3">
        <f>AA92*EESM</f>
        <v>0</v>
      </c>
      <c r="AB136" s="3">
        <f>AB92*EETB</f>
        <v>0</v>
      </c>
      <c r="AC136" s="74">
        <f>SUM(Q136:AB136)</f>
        <v>0</v>
      </c>
    </row>
    <row r="137" spans="1:17" ht="20.25">
      <c r="A137" s="568"/>
      <c r="B137" s="549"/>
      <c r="C137" s="550"/>
      <c r="D137" s="576"/>
      <c r="E137" s="577"/>
      <c r="F137" s="546"/>
      <c r="G137" s="547"/>
      <c r="H137" s="548"/>
      <c r="I137"/>
      <c r="J137"/>
      <c r="K137"/>
      <c r="L137"/>
      <c r="M137"/>
      <c r="N137"/>
      <c r="O137"/>
      <c r="P137"/>
      <c r="Q137" s="533"/>
    </row>
    <row r="138" spans="1:8" ht="15.75">
      <c r="A138" s="569">
        <v>41</v>
      </c>
      <c r="B138" s="551" t="s">
        <v>225</v>
      </c>
      <c r="C138" s="551"/>
      <c r="D138" s="580">
        <f>B4</f>
        <v>410.77600000000007</v>
      </c>
      <c r="E138" s="578">
        <f>C4</f>
        <v>484.71568</v>
      </c>
      <c r="F138" s="535">
        <f>E139+E140</f>
        <v>484.71568</v>
      </c>
      <c r="G138" s="637"/>
      <c r="H138" s="641"/>
    </row>
    <row r="139" spans="1:8" ht="31.5">
      <c r="A139" s="569"/>
      <c r="B139" s="551">
        <v>411</v>
      </c>
      <c r="C139" s="551" t="s">
        <v>226</v>
      </c>
      <c r="D139" s="553">
        <f>C5</f>
        <v>335.528</v>
      </c>
      <c r="E139" s="556">
        <f>D5</f>
        <v>395.92304</v>
      </c>
      <c r="F139" s="535"/>
      <c r="G139" s="637"/>
      <c r="H139" s="641"/>
    </row>
    <row r="140" spans="1:8" ht="31.5">
      <c r="A140" s="569"/>
      <c r="B140" s="551">
        <v>412</v>
      </c>
      <c r="C140" s="551" t="s">
        <v>227</v>
      </c>
      <c r="D140" s="553">
        <f>C10</f>
        <v>75.24800000000002</v>
      </c>
      <c r="E140" s="556">
        <f>D10</f>
        <v>88.79264</v>
      </c>
      <c r="F140" s="535"/>
      <c r="G140" s="637"/>
      <c r="H140" s="641"/>
    </row>
    <row r="141" spans="1:8" ht="15.75">
      <c r="A141" s="569">
        <v>42</v>
      </c>
      <c r="B141" s="551" t="s">
        <v>228</v>
      </c>
      <c r="C141" s="551"/>
      <c r="D141" s="552">
        <f>B13</f>
        <v>67.548</v>
      </c>
      <c r="E141" s="578">
        <f>C13</f>
        <v>79.70664</v>
      </c>
      <c r="F141" s="535">
        <f>E142</f>
        <v>79.70664</v>
      </c>
      <c r="G141" s="637"/>
      <c r="H141" s="637"/>
    </row>
    <row r="142" spans="1:8" ht="31.5">
      <c r="A142" s="569"/>
      <c r="B142" s="551">
        <v>422</v>
      </c>
      <c r="C142" s="551" t="s">
        <v>229</v>
      </c>
      <c r="D142" s="553">
        <f>C16</f>
        <v>67.548</v>
      </c>
      <c r="E142" s="556">
        <f>D16</f>
        <v>79.70664</v>
      </c>
      <c r="F142" s="535"/>
      <c r="G142" s="637"/>
      <c r="H142" s="637"/>
    </row>
    <row r="143" spans="1:8" ht="15.75">
      <c r="A143" s="569">
        <v>43</v>
      </c>
      <c r="B143" s="551" t="s">
        <v>230</v>
      </c>
      <c r="C143" s="551"/>
      <c r="D143" s="552">
        <f>B18</f>
        <v>4342.8640000000005</v>
      </c>
      <c r="E143" s="578">
        <f>C18</f>
        <v>5421.34848</v>
      </c>
      <c r="F143" s="535">
        <f>E144+E145+E146</f>
        <v>5421.34848</v>
      </c>
      <c r="G143" s="637"/>
      <c r="H143" s="637"/>
    </row>
    <row r="144" spans="1:8" ht="15.75">
      <c r="A144" s="569"/>
      <c r="B144" s="551">
        <v>431</v>
      </c>
      <c r="C144" s="551" t="s">
        <v>231</v>
      </c>
      <c r="D144" s="553">
        <f>C19</f>
        <v>1055.688</v>
      </c>
      <c r="E144" s="556">
        <f>D19</f>
        <v>1244.8392</v>
      </c>
      <c r="F144" s="535"/>
      <c r="G144" s="637"/>
      <c r="H144" s="637"/>
    </row>
    <row r="145" spans="1:35" ht="31.5">
      <c r="A145" s="569"/>
      <c r="B145" s="551">
        <v>432</v>
      </c>
      <c r="C145" s="551" t="s">
        <v>232</v>
      </c>
      <c r="D145" s="553">
        <f>C33</f>
        <v>2453.8240000000005</v>
      </c>
      <c r="E145" s="556">
        <f>D33</f>
        <v>3188.942719999999</v>
      </c>
      <c r="F145" s="535"/>
      <c r="G145" s="637"/>
      <c r="H145" s="637"/>
      <c r="AI145" s="4">
        <v>9.91</v>
      </c>
    </row>
    <row r="146" spans="1:8" ht="15.75">
      <c r="A146" s="569"/>
      <c r="B146" s="551">
        <v>433</v>
      </c>
      <c r="C146" s="551" t="s">
        <v>233</v>
      </c>
      <c r="D146" s="553">
        <f>C45</f>
        <v>833.352</v>
      </c>
      <c r="E146" s="556">
        <f>D45</f>
        <v>987.56656</v>
      </c>
      <c r="F146" s="535"/>
      <c r="G146" s="637"/>
      <c r="H146" s="637"/>
    </row>
    <row r="147" spans="1:35" ht="31.5">
      <c r="A147" s="569">
        <v>44</v>
      </c>
      <c r="B147" s="551" t="s">
        <v>234</v>
      </c>
      <c r="C147" s="551"/>
      <c r="D147" s="552">
        <f>B56</f>
        <v>1842.93504</v>
      </c>
      <c r="E147" s="578">
        <f>C56</f>
        <v>2195.4057472</v>
      </c>
      <c r="F147" s="535">
        <f>SUM(E148:E153)</f>
        <v>2195.4057472</v>
      </c>
      <c r="G147" s="637"/>
      <c r="H147" s="637"/>
      <c r="AI147" s="4">
        <v>10.857</v>
      </c>
    </row>
    <row r="148" spans="1:8" ht="15.75">
      <c r="A148" s="569"/>
      <c r="B148" s="551">
        <v>441</v>
      </c>
      <c r="C148" s="551" t="s">
        <v>235</v>
      </c>
      <c r="D148" s="553">
        <f>C57</f>
        <v>611.0735999999999</v>
      </c>
      <c r="E148" s="556">
        <f>D57</f>
        <v>724.927968</v>
      </c>
      <c r="F148" s="535"/>
      <c r="G148" s="637"/>
      <c r="H148" s="637"/>
    </row>
    <row r="149" spans="1:8" ht="15.75">
      <c r="A149" s="569"/>
      <c r="B149" s="551">
        <v>442</v>
      </c>
      <c r="C149" s="551" t="s">
        <v>236</v>
      </c>
      <c r="D149" s="553">
        <f>C72</f>
        <v>101.168</v>
      </c>
      <c r="E149" s="556">
        <f>D72</f>
        <v>119.37824</v>
      </c>
      <c r="F149" s="535"/>
      <c r="G149" s="637"/>
      <c r="H149" s="637"/>
    </row>
    <row r="150" spans="1:8" ht="15.75">
      <c r="A150" s="569"/>
      <c r="B150" s="551">
        <v>443</v>
      </c>
      <c r="C150" s="551" t="s">
        <v>237</v>
      </c>
      <c r="D150" s="553">
        <f>C74</f>
        <v>40.080000000000005</v>
      </c>
      <c r="E150" s="556">
        <f>D74</f>
        <v>47.2944</v>
      </c>
      <c r="F150" s="535"/>
      <c r="G150" s="637"/>
      <c r="H150" s="637"/>
    </row>
    <row r="151" spans="1:8" ht="15.75">
      <c r="A151" s="569"/>
      <c r="B151" s="551">
        <v>444</v>
      </c>
      <c r="C151" s="551" t="s">
        <v>238</v>
      </c>
      <c r="D151" s="553">
        <f>C76</f>
        <v>359.296</v>
      </c>
      <c r="E151" s="556">
        <f>D76</f>
        <v>423.96928</v>
      </c>
      <c r="F151" s="535"/>
      <c r="G151" s="637"/>
      <c r="H151" s="637"/>
    </row>
    <row r="152" spans="1:8" ht="15.75">
      <c r="A152" s="569"/>
      <c r="B152" s="551">
        <v>445</v>
      </c>
      <c r="C152" s="551" t="s">
        <v>239</v>
      </c>
      <c r="D152" s="553">
        <f>C80</f>
        <v>412.09600000000006</v>
      </c>
      <c r="E152" s="556">
        <f>D80</f>
        <v>500.42176</v>
      </c>
      <c r="F152" s="535"/>
      <c r="G152" s="637"/>
      <c r="H152" s="637"/>
    </row>
    <row r="153" spans="1:8" ht="15.75">
      <c r="A153" s="569"/>
      <c r="B153" s="551">
        <v>446</v>
      </c>
      <c r="C153" s="551" t="s">
        <v>251</v>
      </c>
      <c r="D153" s="553">
        <f>C84</f>
        <v>319.2214400000001</v>
      </c>
      <c r="E153" s="556">
        <f>D84</f>
        <v>379.41409920000007</v>
      </c>
      <c r="F153" s="535"/>
      <c r="G153" s="640"/>
      <c r="H153" s="637"/>
    </row>
    <row r="154" spans="1:8" ht="31.5">
      <c r="A154" s="569">
        <v>45</v>
      </c>
      <c r="B154" s="551" t="s">
        <v>240</v>
      </c>
      <c r="C154" s="551"/>
      <c r="D154" s="552">
        <f>B92</f>
        <v>1405.784</v>
      </c>
      <c r="E154" s="578">
        <f>C92</f>
        <v>1729.45808</v>
      </c>
      <c r="F154" s="535">
        <f>E155+E156+E157</f>
        <v>1592.2289600000001</v>
      </c>
      <c r="G154" s="640"/>
      <c r="H154" s="637"/>
    </row>
    <row r="155" spans="1:8" ht="15.75">
      <c r="A155" s="569"/>
      <c r="B155" s="551">
        <v>451</v>
      </c>
      <c r="C155" s="551" t="s">
        <v>241</v>
      </c>
      <c r="D155" s="553">
        <f>C93</f>
        <v>325.08000000000004</v>
      </c>
      <c r="E155" s="556">
        <f>D93</f>
        <v>383.5944000000002</v>
      </c>
      <c r="F155" s="535"/>
      <c r="G155" s="637"/>
      <c r="H155" s="637"/>
    </row>
    <row r="156" spans="1:8" ht="31.5">
      <c r="A156" s="569"/>
      <c r="B156" s="551">
        <v>452</v>
      </c>
      <c r="C156" s="551" t="s">
        <v>242</v>
      </c>
      <c r="D156" s="553">
        <f>C104</f>
        <v>774.0000000000001</v>
      </c>
      <c r="E156" s="556">
        <f>D104</f>
        <v>975.2400000000001</v>
      </c>
      <c r="F156" s="535"/>
      <c r="G156" s="637"/>
      <c r="H156" s="637"/>
    </row>
    <row r="157" spans="1:8" ht="31.5">
      <c r="A157" s="569"/>
      <c r="B157" s="551">
        <v>453</v>
      </c>
      <c r="C157" s="551" t="s">
        <v>242</v>
      </c>
      <c r="D157" s="553">
        <f>C112</f>
        <v>197.79200000000003</v>
      </c>
      <c r="E157" s="556">
        <f>D112</f>
        <v>233.39456</v>
      </c>
      <c r="F157" s="535"/>
      <c r="G157" s="637"/>
      <c r="H157" s="637"/>
    </row>
    <row r="158" spans="1:8" ht="32.25" thickBot="1">
      <c r="A158" s="570">
        <v>46</v>
      </c>
      <c r="B158" s="573" t="s">
        <v>243</v>
      </c>
      <c r="C158" s="571"/>
      <c r="D158" s="559">
        <f>C107</f>
        <v>108.912</v>
      </c>
      <c r="E158" s="579">
        <f>D107</f>
        <v>137.22912</v>
      </c>
      <c r="F158" s="535">
        <f>E158</f>
        <v>137.22912</v>
      </c>
      <c r="G158" s="637"/>
      <c r="H158" s="637"/>
    </row>
    <row r="159" spans="1:6" ht="47.25" customHeight="1" thickBot="1" thickTop="1">
      <c r="A159" s="536"/>
      <c r="B159" s="4"/>
      <c r="C159" s="535"/>
      <c r="D159" s="535"/>
      <c r="E159" s="538"/>
      <c r="F159" s="535"/>
    </row>
    <row r="160" spans="1:34" s="1" customFormat="1" ht="45.75" customHeight="1" thickTop="1">
      <c r="A160" s="644" t="s">
        <v>253</v>
      </c>
      <c r="B160" s="645"/>
      <c r="C160" s="645"/>
      <c r="D160" s="646"/>
      <c r="F160" s="538"/>
      <c r="N160" s="8"/>
      <c r="O160" s="8"/>
      <c r="P160" s="5"/>
      <c r="Q160" s="5"/>
      <c r="R160" s="5"/>
      <c r="S160" s="5"/>
      <c r="T160" s="8"/>
      <c r="U160" s="8"/>
      <c r="V160" s="8"/>
      <c r="W160" s="8"/>
      <c r="X160" s="8"/>
      <c r="Y160" s="8"/>
      <c r="Z160" s="8"/>
      <c r="AA160" s="8"/>
      <c r="AB160" s="8"/>
      <c r="AC160" s="72"/>
      <c r="AD160" s="8"/>
      <c r="AE160" s="40"/>
      <c r="AF160" s="8"/>
      <c r="AG160" s="8"/>
      <c r="AH160" s="67"/>
    </row>
    <row r="161" spans="1:6" ht="15.75">
      <c r="A161" s="554"/>
      <c r="B161" s="551" t="s">
        <v>244</v>
      </c>
      <c r="C161" s="551" t="s">
        <v>247</v>
      </c>
      <c r="D161" s="555" t="s">
        <v>248</v>
      </c>
      <c r="F161" s="538"/>
    </row>
    <row r="162" spans="1:6" ht="15.75">
      <c r="A162" s="554" t="s">
        <v>245</v>
      </c>
      <c r="B162" s="552">
        <f>Q129</f>
        <v>1150.2950400000002</v>
      </c>
      <c r="C162" s="574">
        <v>0</v>
      </c>
      <c r="D162" s="575">
        <v>0</v>
      </c>
      <c r="F162" s="538"/>
    </row>
    <row r="163" spans="1:6" ht="15.75">
      <c r="A163" s="554" t="s">
        <v>246</v>
      </c>
      <c r="B163" s="552">
        <f>T129</f>
        <v>1873.236</v>
      </c>
      <c r="C163" s="574">
        <f>T129</f>
        <v>1873.236</v>
      </c>
      <c r="D163" s="575">
        <v>0</v>
      </c>
      <c r="F163" s="538"/>
    </row>
    <row r="164" spans="1:6" ht="15.75">
      <c r="A164" s="554" t="s">
        <v>124</v>
      </c>
      <c r="B164" s="552">
        <f>Y129+V129</f>
        <v>4320.64</v>
      </c>
      <c r="C164" s="574">
        <f>V129</f>
        <v>1534.0800000000002</v>
      </c>
      <c r="D164" s="575">
        <f>Y129</f>
        <v>2786.56</v>
      </c>
      <c r="F164" s="538"/>
    </row>
    <row r="165" spans="1:6" ht="15.75">
      <c r="A165" s="554" t="s">
        <v>125</v>
      </c>
      <c r="B165" s="552">
        <f>Z129</f>
        <v>725.736</v>
      </c>
      <c r="C165" s="574">
        <f>Z129</f>
        <v>725.736</v>
      </c>
      <c r="D165" s="575">
        <v>0</v>
      </c>
      <c r="F165" s="537"/>
    </row>
    <row r="166" spans="1:6" ht="15.75">
      <c r="A166" s="554"/>
      <c r="B166" s="552"/>
      <c r="C166" s="553"/>
      <c r="D166" s="557"/>
      <c r="F166" s="537"/>
    </row>
    <row r="167" spans="1:4" ht="16.5" thickBot="1">
      <c r="A167" s="558" t="s">
        <v>83</v>
      </c>
      <c r="B167" s="559">
        <f>SUM(B162:B166)</f>
        <v>8069.907040000001</v>
      </c>
      <c r="C167" s="560"/>
      <c r="D167" s="561"/>
    </row>
    <row r="168" spans="3:5" ht="15.75" thickTop="1">
      <c r="C168" s="534"/>
      <c r="D168" s="534"/>
      <c r="E168" s="8"/>
    </row>
    <row r="169" spans="3:5" ht="15">
      <c r="C169" s="534"/>
      <c r="D169" s="534"/>
      <c r="E169" s="8"/>
    </row>
    <row r="170" spans="1:5" ht="15">
      <c r="A170" s="163" t="s">
        <v>250</v>
      </c>
      <c r="C170" s="534"/>
      <c r="D170" s="534"/>
      <c r="E170" s="8"/>
    </row>
    <row r="171" spans="1:5" ht="15">
      <c r="A171" s="540" t="s">
        <v>258</v>
      </c>
      <c r="C171" s="534"/>
      <c r="D171" s="534"/>
      <c r="E171" s="8"/>
    </row>
    <row r="172" spans="1:5" ht="15">
      <c r="A172" s="540" t="s">
        <v>256</v>
      </c>
      <c r="B172" s="192"/>
      <c r="C172" s="534"/>
      <c r="D172" s="534"/>
      <c r="E172" s="8"/>
    </row>
    <row r="173" spans="1:34" s="522" customFormat="1" ht="15">
      <c r="A173" s="540" t="s">
        <v>254</v>
      </c>
      <c r="B173" s="192"/>
      <c r="C173" s="541"/>
      <c r="D173" s="541"/>
      <c r="E173" s="25"/>
      <c r="N173" s="25"/>
      <c r="O173" s="25"/>
      <c r="P173" s="542"/>
      <c r="Q173" s="542"/>
      <c r="R173" s="542"/>
      <c r="S173" s="542"/>
      <c r="T173" s="25"/>
      <c r="U173" s="25"/>
      <c r="V173" s="25"/>
      <c r="W173" s="25"/>
      <c r="X173" s="25"/>
      <c r="Y173" s="25"/>
      <c r="Z173" s="25"/>
      <c r="AA173" s="25"/>
      <c r="AB173" s="25"/>
      <c r="AC173" s="543"/>
      <c r="AD173" s="25"/>
      <c r="AE173" s="544"/>
      <c r="AF173" s="25"/>
      <c r="AG173" s="25"/>
      <c r="AH173" s="545"/>
    </row>
    <row r="174" spans="1:34" s="522" customFormat="1" ht="15">
      <c r="A174" s="540" t="s">
        <v>255</v>
      </c>
      <c r="B174" s="192"/>
      <c r="C174" s="541"/>
      <c r="D174" s="541"/>
      <c r="E174" s="25"/>
      <c r="N174" s="25"/>
      <c r="O174" s="25"/>
      <c r="P174" s="542"/>
      <c r="Q174" s="542"/>
      <c r="R174" s="542"/>
      <c r="S174" s="542"/>
      <c r="T174" s="25"/>
      <c r="U174" s="25"/>
      <c r="V174" s="25"/>
      <c r="W174" s="25"/>
      <c r="X174" s="25"/>
      <c r="Y174" s="25"/>
      <c r="Z174" s="25"/>
      <c r="AA174" s="25"/>
      <c r="AB174" s="25"/>
      <c r="AC174" s="543"/>
      <c r="AD174" s="25"/>
      <c r="AE174" s="544"/>
      <c r="AF174" s="25"/>
      <c r="AG174" s="25"/>
      <c r="AH174" s="545"/>
    </row>
    <row r="175" spans="1:34" s="522" customFormat="1" ht="15">
      <c r="A175" s="540" t="s">
        <v>257</v>
      </c>
      <c r="B175" s="192"/>
      <c r="C175" s="541"/>
      <c r="D175" s="541"/>
      <c r="E175" s="25"/>
      <c r="N175" s="25"/>
      <c r="O175" s="25"/>
      <c r="P175" s="542"/>
      <c r="Q175" s="542"/>
      <c r="R175" s="542"/>
      <c r="S175" s="542"/>
      <c r="T175" s="25"/>
      <c r="U175" s="25"/>
      <c r="V175" s="25"/>
      <c r="W175" s="25"/>
      <c r="X175" s="25"/>
      <c r="Y175" s="25"/>
      <c r="Z175" s="25"/>
      <c r="AA175" s="25"/>
      <c r="AB175" s="25"/>
      <c r="AC175" s="543"/>
      <c r="AD175" s="25"/>
      <c r="AE175" s="544"/>
      <c r="AF175" s="25"/>
      <c r="AG175" s="25"/>
      <c r="AH175" s="545"/>
    </row>
    <row r="176" spans="1:34" s="522" customFormat="1" ht="15">
      <c r="A176" s="540" t="s">
        <v>259</v>
      </c>
      <c r="B176" s="192"/>
      <c r="C176" s="541"/>
      <c r="D176" s="541"/>
      <c r="E176" s="25"/>
      <c r="N176" s="25"/>
      <c r="O176" s="25"/>
      <c r="P176" s="542"/>
      <c r="Q176" s="542"/>
      <c r="R176" s="542"/>
      <c r="S176" s="542"/>
      <c r="T176" s="25"/>
      <c r="U176" s="25"/>
      <c r="V176" s="25"/>
      <c r="W176" s="25"/>
      <c r="X176" s="25"/>
      <c r="Y176" s="25"/>
      <c r="Z176" s="25"/>
      <c r="AA176" s="25"/>
      <c r="AB176" s="25"/>
      <c r="AC176" s="543"/>
      <c r="AD176" s="25"/>
      <c r="AE176" s="544"/>
      <c r="AF176" s="25"/>
      <c r="AG176" s="25"/>
      <c r="AH176" s="545"/>
    </row>
    <row r="177" spans="1:5" ht="15">
      <c r="A177" s="540" t="s">
        <v>260</v>
      </c>
      <c r="C177" s="534"/>
      <c r="D177" s="534"/>
      <c r="E177" s="8"/>
    </row>
    <row r="178" spans="3:5" ht="15">
      <c r="C178" s="534"/>
      <c r="D178" s="534"/>
      <c r="E178" s="8"/>
    </row>
    <row r="179" spans="3:5" ht="15">
      <c r="C179" s="534"/>
      <c r="D179" s="534"/>
      <c r="E179" s="8"/>
    </row>
    <row r="180" spans="3:5" ht="15">
      <c r="C180" s="534"/>
      <c r="D180" s="534"/>
      <c r="E180" s="8"/>
    </row>
    <row r="181" spans="3:5" ht="15">
      <c r="C181" s="534"/>
      <c r="D181" s="534"/>
      <c r="E181" s="8"/>
    </row>
    <row r="182" spans="3:5" ht="15">
      <c r="C182" s="534"/>
      <c r="D182" s="534"/>
      <c r="E182" s="8"/>
    </row>
    <row r="183" spans="3:5" ht="15">
      <c r="C183" s="534"/>
      <c r="D183" s="534"/>
      <c r="E183" s="8"/>
    </row>
    <row r="184" spans="3:5" ht="15">
      <c r="C184" s="534"/>
      <c r="D184" s="534"/>
      <c r="E184" s="8"/>
    </row>
  </sheetData>
  <mergeCells count="25">
    <mergeCell ref="G149:H149"/>
    <mergeCell ref="G150:H150"/>
    <mergeCell ref="A160:D160"/>
    <mergeCell ref="G146:H146"/>
    <mergeCell ref="G147:H147"/>
    <mergeCell ref="G148:H148"/>
    <mergeCell ref="G157:H157"/>
    <mergeCell ref="G158:H158"/>
    <mergeCell ref="G156:H156"/>
    <mergeCell ref="G145:H145"/>
    <mergeCell ref="G135:H135"/>
    <mergeCell ref="G136:H136"/>
    <mergeCell ref="G138:H138"/>
    <mergeCell ref="G139:H139"/>
    <mergeCell ref="G143:H143"/>
    <mergeCell ref="G155:H155"/>
    <mergeCell ref="G151:H151"/>
    <mergeCell ref="G144:H144"/>
    <mergeCell ref="A1:M1"/>
    <mergeCell ref="G152:H152"/>
    <mergeCell ref="G153:H153"/>
    <mergeCell ref="G154:H154"/>
    <mergeCell ref="G140:H140"/>
    <mergeCell ref="G141:H141"/>
    <mergeCell ref="G142:H142"/>
  </mergeCells>
  <printOptions gridLines="1" headings="1" horizontalCentered="1" verticalCentered="1"/>
  <pageMargins left="0.71" right="0.2" top="0.4" bottom="0.34" header="0.26" footer="0.2"/>
  <pageSetup fitToHeight="4" horizontalDpi="300" verticalDpi="300" orientation="landscape" paperSize="17" scale="70" r:id="rId3"/>
  <headerFooter alignWithMargins="0">
    <oddFooter>&amp;R&amp;F              &amp;A      &amp;D     &amp;T</oddFooter>
  </headerFooter>
  <rowBreaks count="1" manualBreakCount="1">
    <brk id="1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75" zoomScaleNormal="75" workbookViewId="0" topLeftCell="A1">
      <selection activeCell="O34" sqref="O34"/>
    </sheetView>
  </sheetViews>
  <sheetFormatPr defaultColWidth="9.00390625" defaultRowHeight="12"/>
  <cols>
    <col min="1" max="1" width="14.25390625" style="249" customWidth="1"/>
    <col min="2" max="2" width="29.125" style="9" bestFit="1" customWidth="1"/>
    <col min="3" max="3" width="1.25" style="250" customWidth="1"/>
    <col min="4" max="4" width="13.25390625" style="251" customWidth="1"/>
    <col min="5" max="5" width="9.75390625" style="32" customWidth="1"/>
    <col min="6" max="6" width="9.75390625" style="252" customWidth="1"/>
    <col min="7" max="7" width="13.125" style="253" customWidth="1"/>
    <col min="8" max="8" width="2.75390625" style="365" customWidth="1"/>
    <col min="9" max="9" width="1.12109375" style="255" customWidth="1"/>
    <col min="10" max="10" width="13.875" style="256" customWidth="1"/>
    <col min="11" max="11" width="8.125" style="257" customWidth="1"/>
    <col min="12" max="12" width="9.125" style="257" customWidth="1"/>
    <col min="13" max="13" width="15.00390625" style="253" customWidth="1"/>
    <col min="14" max="14" width="4.00390625" style="258" customWidth="1"/>
    <col min="15" max="15" width="13.125" style="258" customWidth="1"/>
    <col min="16" max="16" width="13.125" style="259" hidden="1" customWidth="1"/>
    <col min="17" max="17" width="11.75390625" style="255" hidden="1" customWidth="1"/>
    <col min="18" max="18" width="5.875" style="255" hidden="1" customWidth="1"/>
    <col min="19" max="19" width="8.75390625" style="255" hidden="1" customWidth="1"/>
    <col min="20" max="20" width="10.375" style="260" hidden="1" customWidth="1"/>
    <col min="21" max="21" width="10.00390625" style="255" hidden="1" customWidth="1"/>
    <col min="22" max="22" width="6.00390625" style="255" hidden="1" customWidth="1"/>
    <col min="23" max="23" width="27.125" style="261" hidden="1" customWidth="1"/>
    <col min="24" max="25" width="11.375" style="254" hidden="1" customWidth="1"/>
    <col min="26" max="27" width="11.375" style="9" hidden="1" customWidth="1"/>
    <col min="28" max="16384" width="11.375" style="9" customWidth="1"/>
  </cols>
  <sheetData>
    <row r="1" spans="1:15" s="226" customFormat="1" ht="20.25">
      <c r="A1" s="214" t="s">
        <v>192</v>
      </c>
      <c r="B1" s="215"/>
      <c r="C1" s="215"/>
      <c r="D1" s="216"/>
      <c r="E1" s="217"/>
      <c r="F1" s="218"/>
      <c r="G1" s="219"/>
      <c r="H1" s="220"/>
      <c r="I1" s="221"/>
      <c r="J1" s="222"/>
      <c r="K1" s="223"/>
      <c r="L1" s="224"/>
      <c r="M1" s="219"/>
      <c r="N1" s="225"/>
      <c r="O1" s="225"/>
    </row>
    <row r="2" spans="1:15" s="236" customFormat="1" ht="18.75">
      <c r="A2" s="227" t="s">
        <v>194</v>
      </c>
      <c r="B2" s="228" t="s">
        <v>195</v>
      </c>
      <c r="C2" s="227">
        <v>21</v>
      </c>
      <c r="D2" s="227"/>
      <c r="E2" s="229"/>
      <c r="F2" s="230"/>
      <c r="G2" s="231"/>
      <c r="H2" s="232"/>
      <c r="I2" s="232"/>
      <c r="J2" s="233"/>
      <c r="K2" s="234"/>
      <c r="L2" s="235"/>
      <c r="M2" s="231"/>
      <c r="N2" s="231"/>
      <c r="O2" s="231"/>
    </row>
    <row r="3" spans="1:15" s="226" customFormat="1" ht="18">
      <c r="A3" s="237" t="s">
        <v>193</v>
      </c>
      <c r="B3" s="238" t="s">
        <v>196</v>
      </c>
      <c r="C3" s="239"/>
      <c r="D3" s="240"/>
      <c r="E3" s="241"/>
      <c r="F3" s="242"/>
      <c r="G3" s="243"/>
      <c r="H3" s="244"/>
      <c r="I3" s="245"/>
      <c r="J3" s="246"/>
      <c r="K3" s="247"/>
      <c r="L3" s="224"/>
      <c r="M3" s="243"/>
      <c r="N3" s="248"/>
      <c r="O3" s="248"/>
    </row>
    <row r="4" ht="18.75" thickBot="1">
      <c r="H4" s="254"/>
    </row>
    <row r="5" spans="1:26" s="250" customFormat="1" ht="19.5" thickBot="1">
      <c r="A5" s="262"/>
      <c r="B5" s="263"/>
      <c r="C5" s="264" t="s">
        <v>197</v>
      </c>
      <c r="D5" s="265"/>
      <c r="E5" s="266"/>
      <c r="F5" s="267"/>
      <c r="G5" s="268"/>
      <c r="H5" s="269"/>
      <c r="I5" s="270" t="s">
        <v>198</v>
      </c>
      <c r="J5" s="271"/>
      <c r="K5" s="267"/>
      <c r="L5" s="267"/>
      <c r="M5" s="268"/>
      <c r="N5" s="272" t="s">
        <v>110</v>
      </c>
      <c r="O5" s="273" t="s">
        <v>199</v>
      </c>
      <c r="P5" s="268" t="s">
        <v>110</v>
      </c>
      <c r="Q5" s="274"/>
      <c r="R5" s="274"/>
      <c r="S5" s="274"/>
      <c r="T5" s="275"/>
      <c r="U5" s="274"/>
      <c r="V5" s="274"/>
      <c r="W5" s="276"/>
      <c r="X5" s="277"/>
      <c r="Y5" s="277"/>
      <c r="Z5" s="250" t="s">
        <v>199</v>
      </c>
    </row>
    <row r="6" spans="1:23" ht="18.75" thickBot="1">
      <c r="A6" s="278"/>
      <c r="B6" s="12"/>
      <c r="C6" s="28" t="s">
        <v>190</v>
      </c>
      <c r="D6" s="279"/>
      <c r="E6" s="280" t="s">
        <v>42</v>
      </c>
      <c r="F6" s="281" t="s">
        <v>189</v>
      </c>
      <c r="G6" s="282" t="s">
        <v>191</v>
      </c>
      <c r="H6" s="283"/>
      <c r="I6" s="284" t="s">
        <v>188</v>
      </c>
      <c r="J6" s="285"/>
      <c r="K6" s="281" t="s">
        <v>42</v>
      </c>
      <c r="L6" s="281" t="s">
        <v>189</v>
      </c>
      <c r="M6" s="282" t="s">
        <v>191</v>
      </c>
      <c r="O6" s="286"/>
      <c r="P6" s="287" t="s">
        <v>191</v>
      </c>
      <c r="Q6" s="288"/>
      <c r="R6" s="289"/>
      <c r="S6" s="290" t="s">
        <v>41</v>
      </c>
      <c r="T6" s="291" t="s">
        <v>42</v>
      </c>
      <c r="U6" s="292" t="s">
        <v>165</v>
      </c>
      <c r="V6" s="293"/>
      <c r="W6" s="294" t="s">
        <v>140</v>
      </c>
    </row>
    <row r="7" spans="1:25" s="32" customFormat="1" ht="18.75">
      <c r="A7" s="278" t="s">
        <v>136</v>
      </c>
      <c r="B7" s="31"/>
      <c r="C7" s="295">
        <f>SUM(D8:D9)</f>
        <v>542</v>
      </c>
      <c r="D7" s="296"/>
      <c r="E7" s="297"/>
      <c r="F7" s="298"/>
      <c r="G7" s="299"/>
      <c r="H7" s="300"/>
      <c r="I7" s="301">
        <f>'[1]Main'!B4</f>
        <v>592.89560939504</v>
      </c>
      <c r="J7" s="302" t="s">
        <v>110</v>
      </c>
      <c r="K7" s="303"/>
      <c r="L7" s="303"/>
      <c r="M7" s="304"/>
      <c r="N7" s="305"/>
      <c r="O7" s="306"/>
      <c r="P7" s="307">
        <f>'[1]Main'!C4</f>
        <v>699.6168190861471</v>
      </c>
      <c r="Q7" s="308"/>
      <c r="R7" s="309" t="s">
        <v>110</v>
      </c>
      <c r="S7" s="310">
        <f>SUM(S8:S9)</f>
        <v>288.840819086147</v>
      </c>
      <c r="T7" s="311">
        <f>S7/I7</f>
        <v>0.4871697724003476</v>
      </c>
      <c r="U7" s="312">
        <f>V8+V9</f>
        <v>190</v>
      </c>
      <c r="V7" s="313"/>
      <c r="W7" s="314"/>
      <c r="X7" s="252"/>
      <c r="Y7" s="252"/>
    </row>
    <row r="8" spans="1:23" ht="51.75">
      <c r="A8" s="278" t="s">
        <v>110</v>
      </c>
      <c r="B8" s="12" t="s">
        <v>155</v>
      </c>
      <c r="C8" s="315"/>
      <c r="D8" s="316">
        <v>499</v>
      </c>
      <c r="E8" s="317">
        <v>0.17</v>
      </c>
      <c r="F8" s="318">
        <f>+E8*D8</f>
        <v>84.83000000000001</v>
      </c>
      <c r="G8" s="319">
        <f>SUM(D8,F8)</f>
        <v>583.83</v>
      </c>
      <c r="H8" s="320"/>
      <c r="I8" s="321"/>
      <c r="J8" s="322">
        <f>Main!C5</f>
        <v>335.528</v>
      </c>
      <c r="K8" s="323">
        <f>+L8/J8</f>
        <v>0.17999999999999997</v>
      </c>
      <c r="L8" s="324">
        <f>+M8-J8</f>
        <v>60.395039999999995</v>
      </c>
      <c r="M8" s="325">
        <f>SUM(Main!D5)</f>
        <v>395.92304</v>
      </c>
      <c r="N8" s="326"/>
      <c r="O8" s="327">
        <f>+M8-G8</f>
        <v>-187.90696000000003</v>
      </c>
      <c r="P8" s="328"/>
      <c r="Q8" s="329"/>
      <c r="R8" s="330">
        <f>'[1]Main'!D5</f>
        <v>570.8273190877951</v>
      </c>
      <c r="S8" s="331">
        <f>R8-J8</f>
        <v>235.29931908779508</v>
      </c>
      <c r="T8" s="332">
        <f>S8/J8</f>
        <v>0.7012807249701816</v>
      </c>
      <c r="U8" s="333"/>
      <c r="V8" s="334">
        <v>169</v>
      </c>
      <c r="W8" s="294" t="s">
        <v>141</v>
      </c>
    </row>
    <row r="9" spans="1:23" ht="18">
      <c r="A9" s="278" t="s">
        <v>110</v>
      </c>
      <c r="B9" s="12" t="s">
        <v>156</v>
      </c>
      <c r="C9" s="315"/>
      <c r="D9" s="316">
        <v>43</v>
      </c>
      <c r="E9" s="317">
        <v>0.18</v>
      </c>
      <c r="F9" s="318">
        <f aca="true" t="shared" si="0" ref="F9:F27">+E9*D9</f>
        <v>7.739999999999999</v>
      </c>
      <c r="G9" s="319">
        <f aca="true" t="shared" si="1" ref="G9:G27">SUM(D9,F9)</f>
        <v>50.74</v>
      </c>
      <c r="H9" s="320"/>
      <c r="I9" s="321"/>
      <c r="J9" s="322">
        <f>SUM(Main!C10)</f>
        <v>75.24800000000002</v>
      </c>
      <c r="K9" s="323">
        <f>+L9/J9</f>
        <v>0.17999999999999977</v>
      </c>
      <c r="L9" s="324">
        <f>+M9-J9</f>
        <v>13.544639999999987</v>
      </c>
      <c r="M9" s="325">
        <f>SUM(Main!D10)</f>
        <v>88.79264</v>
      </c>
      <c r="N9" s="326"/>
      <c r="O9" s="327">
        <f aca="true" t="shared" si="2" ref="O9:O31">+M9-G9</f>
        <v>38.052640000000004</v>
      </c>
      <c r="P9" s="328"/>
      <c r="Q9" s="329"/>
      <c r="R9" s="330">
        <f>'[1]Main'!D16</f>
        <v>128.78949999835197</v>
      </c>
      <c r="S9" s="331">
        <f>R9-J9</f>
        <v>53.54149999835195</v>
      </c>
      <c r="T9" s="332">
        <f>S9/J9</f>
        <v>0.7115338613431844</v>
      </c>
      <c r="U9" s="333"/>
      <c r="V9" s="334">
        <v>21</v>
      </c>
      <c r="W9" s="294" t="s">
        <v>150</v>
      </c>
    </row>
    <row r="10" spans="1:25" s="32" customFormat="1" ht="18">
      <c r="A10" s="278" t="s">
        <v>137</v>
      </c>
      <c r="B10" s="31"/>
      <c r="C10" s="335">
        <f>SUM(D11:D12)</f>
        <v>14.5</v>
      </c>
      <c r="D10" s="336"/>
      <c r="E10" s="317"/>
      <c r="F10" s="318"/>
      <c r="G10" s="319"/>
      <c r="H10" s="320"/>
      <c r="I10" s="337">
        <f>'[1]Main'!B18</f>
        <v>26.136740359999997</v>
      </c>
      <c r="J10" s="338" t="s">
        <v>110</v>
      </c>
      <c r="K10" s="323"/>
      <c r="L10" s="324"/>
      <c r="M10" s="325"/>
      <c r="N10" s="326"/>
      <c r="O10" s="327"/>
      <c r="P10" s="339">
        <f>'[1]Main'!C18</f>
        <v>30.841353624799996</v>
      </c>
      <c r="Q10" s="308"/>
      <c r="R10" s="309" t="s">
        <v>110</v>
      </c>
      <c r="S10" s="310">
        <f>SUM(S11:S12)</f>
        <v>-36.70664637520001</v>
      </c>
      <c r="T10" s="311">
        <f>S10/I10</f>
        <v>-1.4044079663191793</v>
      </c>
      <c r="U10" s="312">
        <f>V11+V12</f>
        <v>41</v>
      </c>
      <c r="V10" s="313"/>
      <c r="W10" s="314"/>
      <c r="X10" s="252"/>
      <c r="Y10" s="252"/>
    </row>
    <row r="11" spans="1:23" ht="18">
      <c r="A11" s="278" t="s">
        <v>110</v>
      </c>
      <c r="B11" s="12" t="s">
        <v>157</v>
      </c>
      <c r="C11" s="315"/>
      <c r="D11" s="316">
        <v>0</v>
      </c>
      <c r="E11" s="317">
        <v>0</v>
      </c>
      <c r="F11" s="318">
        <f t="shared" si="0"/>
        <v>0</v>
      </c>
      <c r="G11" s="319">
        <f t="shared" si="1"/>
        <v>0</v>
      </c>
      <c r="H11" s="320"/>
      <c r="I11" s="321"/>
      <c r="J11" s="322">
        <f>SUM(Main!C14)</f>
        <v>0</v>
      </c>
      <c r="K11" s="323"/>
      <c r="L11" s="324">
        <f>+M11-J11</f>
        <v>0</v>
      </c>
      <c r="M11" s="325">
        <f>SUM(Main!D14)</f>
        <v>0</v>
      </c>
      <c r="N11" s="326"/>
      <c r="O11" s="327">
        <f t="shared" si="2"/>
        <v>0</v>
      </c>
      <c r="P11" s="328"/>
      <c r="Q11" s="329"/>
      <c r="R11" s="330">
        <f>'[1]Main'!D19</f>
        <v>0</v>
      </c>
      <c r="S11" s="331">
        <f>R11-J11</f>
        <v>0</v>
      </c>
      <c r="T11" s="332">
        <v>0</v>
      </c>
      <c r="U11" s="333"/>
      <c r="V11" s="334"/>
      <c r="W11" s="294" t="s">
        <v>143</v>
      </c>
    </row>
    <row r="12" spans="1:23" ht="18">
      <c r="A12" s="278" t="s">
        <v>110</v>
      </c>
      <c r="B12" s="12" t="s">
        <v>158</v>
      </c>
      <c r="C12" s="315"/>
      <c r="D12" s="316">
        <v>14.5</v>
      </c>
      <c r="E12" s="317">
        <v>0.18</v>
      </c>
      <c r="F12" s="318">
        <f t="shared" si="0"/>
        <v>2.61</v>
      </c>
      <c r="G12" s="319">
        <f t="shared" si="1"/>
        <v>17.11</v>
      </c>
      <c r="H12" s="320"/>
      <c r="I12" s="321"/>
      <c r="J12" s="322">
        <f>SUM(Main!C16)</f>
        <v>67.548</v>
      </c>
      <c r="K12" s="323"/>
      <c r="L12" s="324">
        <f>+M12-J12</f>
        <v>12.158639999999991</v>
      </c>
      <c r="M12" s="325">
        <f>SUM(Main!D16)</f>
        <v>79.70664</v>
      </c>
      <c r="N12" s="326"/>
      <c r="O12" s="327">
        <f t="shared" si="2"/>
        <v>62.596639999999994</v>
      </c>
      <c r="P12" s="328"/>
      <c r="Q12" s="329"/>
      <c r="R12" s="330">
        <f>'[1]Main'!D21</f>
        <v>30.841353624799996</v>
      </c>
      <c r="S12" s="331">
        <f>R12-J12</f>
        <v>-36.70664637520001</v>
      </c>
      <c r="T12" s="332">
        <f>S12/J12</f>
        <v>-0.5434157395511341</v>
      </c>
      <c r="U12" s="333"/>
      <c r="V12" s="334">
        <v>41</v>
      </c>
      <c r="W12" s="294" t="s">
        <v>142</v>
      </c>
    </row>
    <row r="13" spans="1:25" s="32" customFormat="1" ht="18">
      <c r="A13" s="278" t="s">
        <v>138</v>
      </c>
      <c r="B13" s="31"/>
      <c r="C13" s="335">
        <f>SUM(D14:D16)</f>
        <v>2395.449</v>
      </c>
      <c r="D13" s="336"/>
      <c r="E13" s="317"/>
      <c r="F13" s="318"/>
      <c r="G13" s="319"/>
      <c r="H13" s="320"/>
      <c r="I13" s="337">
        <f>'[1]Main'!B23</f>
        <v>3119.71091260272</v>
      </c>
      <c r="J13" s="338" t="s">
        <v>110</v>
      </c>
      <c r="K13" s="323"/>
      <c r="L13" s="324"/>
      <c r="M13" s="325"/>
      <c r="N13" s="326"/>
      <c r="O13" s="327"/>
      <c r="P13" s="339">
        <f>'[1]Main'!C23</f>
        <v>3732.858876871209</v>
      </c>
      <c r="Q13" s="308"/>
      <c r="R13" s="309" t="s">
        <v>110</v>
      </c>
      <c r="S13" s="310">
        <f>SUM(S14:S16)</f>
        <v>-610.0051231287915</v>
      </c>
      <c r="T13" s="311">
        <f>S13/I13</f>
        <v>-0.1955325798504436</v>
      </c>
      <c r="U13" s="312">
        <f>V14+V15+V16</f>
        <v>1154</v>
      </c>
      <c r="V13" s="313"/>
      <c r="W13" s="314"/>
      <c r="X13" s="252"/>
      <c r="Y13" s="252"/>
    </row>
    <row r="14" spans="1:23" ht="18">
      <c r="A14" s="278" t="s">
        <v>110</v>
      </c>
      <c r="B14" s="12" t="s">
        <v>159</v>
      </c>
      <c r="C14" s="315"/>
      <c r="D14" s="316">
        <v>365.479</v>
      </c>
      <c r="E14" s="317">
        <v>0.18</v>
      </c>
      <c r="F14" s="318">
        <f t="shared" si="0"/>
        <v>65.78622</v>
      </c>
      <c r="G14" s="319">
        <f t="shared" si="1"/>
        <v>431.26522</v>
      </c>
      <c r="H14" s="320"/>
      <c r="I14" s="321"/>
      <c r="J14" s="322">
        <f>SUM(Main!C19)</f>
        <v>1055.688</v>
      </c>
      <c r="K14" s="323">
        <f>+L14/J14</f>
        <v>0.17917339213858618</v>
      </c>
      <c r="L14" s="324">
        <f>+M14-J14</f>
        <v>189.1511999999998</v>
      </c>
      <c r="M14" s="325">
        <f>SUM(Main!D19)</f>
        <v>1244.8392</v>
      </c>
      <c r="N14" s="326"/>
      <c r="O14" s="327">
        <f t="shared" si="2"/>
        <v>813.5739799999999</v>
      </c>
      <c r="P14" s="328"/>
      <c r="Q14" s="329"/>
      <c r="R14" s="330">
        <f>'[1]Main'!D24</f>
        <v>456.38519027464315</v>
      </c>
      <c r="S14" s="331">
        <f>R14-J14</f>
        <v>-599.302809725357</v>
      </c>
      <c r="T14" s="332">
        <f>S14/J14</f>
        <v>-0.5676893265106328</v>
      </c>
      <c r="U14" s="333"/>
      <c r="V14" s="334">
        <v>0</v>
      </c>
      <c r="W14" s="294" t="s">
        <v>143</v>
      </c>
    </row>
    <row r="15" spans="1:23" ht="18">
      <c r="A15" s="278" t="s">
        <v>110</v>
      </c>
      <c r="B15" s="12" t="s">
        <v>160</v>
      </c>
      <c r="C15" s="315"/>
      <c r="D15" s="316">
        <v>1311.1</v>
      </c>
      <c r="E15" s="317">
        <v>0.213</v>
      </c>
      <c r="F15" s="318">
        <f t="shared" si="0"/>
        <v>279.2643</v>
      </c>
      <c r="G15" s="319">
        <f t="shared" si="1"/>
        <v>1590.3643</v>
      </c>
      <c r="H15" s="320"/>
      <c r="I15" s="321"/>
      <c r="J15" s="322">
        <f>SUM(Main!C33)</f>
        <v>2453.8240000000005</v>
      </c>
      <c r="K15" s="323">
        <f>+L15/J15</f>
        <v>0.29958086643540793</v>
      </c>
      <c r="L15" s="324">
        <f>+M15-J15</f>
        <v>735.1187199999986</v>
      </c>
      <c r="M15" s="325">
        <f>SUM(Main!D33)</f>
        <v>3188.942719999999</v>
      </c>
      <c r="N15" s="326"/>
      <c r="O15" s="327">
        <f t="shared" si="2"/>
        <v>1598.5784199999991</v>
      </c>
      <c r="P15" s="328"/>
      <c r="Q15" s="329"/>
      <c r="R15" s="330">
        <f>'[1]Main'!D40</f>
        <v>1916.3804689334336</v>
      </c>
      <c r="S15" s="331">
        <f>R15-J15</f>
        <v>-537.443531066567</v>
      </c>
      <c r="T15" s="332">
        <f>S15/J15</f>
        <v>-0.21902285211431904</v>
      </c>
      <c r="U15" s="333"/>
      <c r="V15" s="334">
        <v>0</v>
      </c>
      <c r="W15" s="294" t="s">
        <v>143</v>
      </c>
    </row>
    <row r="16" spans="1:23" ht="26.25">
      <c r="A16" s="278" t="s">
        <v>110</v>
      </c>
      <c r="B16" s="12" t="s">
        <v>161</v>
      </c>
      <c r="C16" s="315"/>
      <c r="D16" s="316">
        <v>718.87</v>
      </c>
      <c r="E16" s="317">
        <v>0.18</v>
      </c>
      <c r="F16" s="318">
        <f t="shared" si="0"/>
        <v>129.3966</v>
      </c>
      <c r="G16" s="319">
        <f t="shared" si="1"/>
        <v>848.2666</v>
      </c>
      <c r="H16" s="320"/>
      <c r="I16" s="321"/>
      <c r="J16" s="322">
        <f>SUM(Main!C45)</f>
        <v>833.352</v>
      </c>
      <c r="K16" s="323">
        <f>+L16/J16</f>
        <v>0.18505332680547956</v>
      </c>
      <c r="L16" s="324">
        <f>+M16-J16</f>
        <v>154.21456</v>
      </c>
      <c r="M16" s="325">
        <f>SUM(Main!D45)</f>
        <v>987.56656</v>
      </c>
      <c r="N16" s="326"/>
      <c r="O16" s="327">
        <f t="shared" si="2"/>
        <v>139.29995999999994</v>
      </c>
      <c r="P16" s="328"/>
      <c r="Q16" s="329"/>
      <c r="R16" s="330">
        <f>'[1]Main'!D47</f>
        <v>1360.0932176631325</v>
      </c>
      <c r="S16" s="331">
        <f>R16-J16</f>
        <v>526.7412176631325</v>
      </c>
      <c r="T16" s="332">
        <f>S16/J16</f>
        <v>0.6320753027089783</v>
      </c>
      <c r="U16" s="333"/>
      <c r="V16" s="334">
        <v>1154</v>
      </c>
      <c r="W16" s="294" t="s">
        <v>151</v>
      </c>
    </row>
    <row r="17" spans="1:25" s="32" customFormat="1" ht="18">
      <c r="A17" s="278" t="s">
        <v>153</v>
      </c>
      <c r="B17" s="31"/>
      <c r="C17" s="335">
        <f>SUM(D18:D23)</f>
        <v>1623.9370000000001</v>
      </c>
      <c r="D17" s="336"/>
      <c r="E17" s="317"/>
      <c r="F17" s="318"/>
      <c r="G17" s="319"/>
      <c r="H17" s="320"/>
      <c r="I17" s="337">
        <f>'[1]Main'!B73</f>
        <v>1565.4259293092798</v>
      </c>
      <c r="J17" s="338" t="s">
        <v>110</v>
      </c>
      <c r="K17" s="323"/>
      <c r="L17" s="324"/>
      <c r="M17" s="325"/>
      <c r="N17" s="326"/>
      <c r="O17" s="327"/>
      <c r="P17" s="339">
        <f>'[1]Main'!C73</f>
        <v>1860.1072301245536</v>
      </c>
      <c r="Q17" s="308"/>
      <c r="R17" s="309" t="s">
        <v>110</v>
      </c>
      <c r="S17" s="310">
        <f>SUM(S18:S22)</f>
        <v>336.39363012455334</v>
      </c>
      <c r="T17" s="311">
        <f>S17/I17</f>
        <v>0.21488952228674396</v>
      </c>
      <c r="U17" s="312">
        <f>V18+V19+V20+V21+V22+V23</f>
        <v>727</v>
      </c>
      <c r="V17" s="313"/>
      <c r="W17" s="314"/>
      <c r="X17" s="252"/>
      <c r="Y17" s="252"/>
    </row>
    <row r="18" spans="1:23" ht="26.25">
      <c r="A18" s="278" t="s">
        <v>110</v>
      </c>
      <c r="B18" s="12" t="s">
        <v>6</v>
      </c>
      <c r="C18" s="315"/>
      <c r="D18" s="316">
        <v>584.74</v>
      </c>
      <c r="E18" s="317">
        <v>0.186</v>
      </c>
      <c r="F18" s="318">
        <f t="shared" si="0"/>
        <v>108.76164</v>
      </c>
      <c r="G18" s="319">
        <f t="shared" si="1"/>
        <v>693.50164</v>
      </c>
      <c r="H18" s="320"/>
      <c r="I18" s="321"/>
      <c r="J18" s="322">
        <f>SUM(Main!C57)</f>
        <v>611.0735999999999</v>
      </c>
      <c r="K18" s="323">
        <f>+L18/J18</f>
        <v>0.18631858420982356</v>
      </c>
      <c r="L18" s="324">
        <f>+M18-J18</f>
        <v>113.85436800000002</v>
      </c>
      <c r="M18" s="325">
        <f>SUM(Main!D57)</f>
        <v>724.927968</v>
      </c>
      <c r="N18" s="326"/>
      <c r="O18" s="327">
        <f t="shared" si="2"/>
        <v>31.426328000000012</v>
      </c>
      <c r="P18" s="328"/>
      <c r="Q18" s="329"/>
      <c r="R18" s="330">
        <f>'[1]Main'!D74</f>
        <v>679.1533811889664</v>
      </c>
      <c r="S18" s="331">
        <f aca="true" t="shared" si="3" ref="S18:S23">R18-J18</f>
        <v>68.07978118896642</v>
      </c>
      <c r="T18" s="332">
        <f aca="true" t="shared" si="4" ref="T18:T23">S18/J18</f>
        <v>0.1114101168647548</v>
      </c>
      <c r="U18" s="333"/>
      <c r="V18" s="334">
        <v>209</v>
      </c>
      <c r="W18" s="294" t="s">
        <v>144</v>
      </c>
    </row>
    <row r="19" spans="1:23" ht="26.25">
      <c r="A19" s="278" t="s">
        <v>110</v>
      </c>
      <c r="B19" s="12" t="s">
        <v>7</v>
      </c>
      <c r="C19" s="315"/>
      <c r="D19" s="316">
        <v>96.4</v>
      </c>
      <c r="E19" s="317">
        <v>0.18</v>
      </c>
      <c r="F19" s="318">
        <f t="shared" si="0"/>
        <v>17.352</v>
      </c>
      <c r="G19" s="319">
        <f t="shared" si="1"/>
        <v>113.75200000000001</v>
      </c>
      <c r="H19" s="320"/>
      <c r="I19" s="321"/>
      <c r="J19" s="322">
        <f>SUM(Main!C72)</f>
        <v>101.168</v>
      </c>
      <c r="K19" s="323">
        <f>+L19/J19</f>
        <v>0.17999999999999997</v>
      </c>
      <c r="L19" s="324">
        <f>+M19-J19</f>
        <v>18.21024</v>
      </c>
      <c r="M19" s="325">
        <f>SUM(Main!D72)</f>
        <v>119.37824</v>
      </c>
      <c r="N19" s="326"/>
      <c r="O19" s="327">
        <f t="shared" si="2"/>
        <v>5.626239999999996</v>
      </c>
      <c r="P19" s="328"/>
      <c r="Q19" s="329"/>
      <c r="R19" s="330">
        <f>'[1]Main'!D89</f>
        <v>110.68579482191359</v>
      </c>
      <c r="S19" s="331">
        <f t="shared" si="3"/>
        <v>9.517794821913583</v>
      </c>
      <c r="T19" s="332">
        <f t="shared" si="4"/>
        <v>0.0940791042811322</v>
      </c>
      <c r="U19" s="333"/>
      <c r="V19" s="334">
        <v>50</v>
      </c>
      <c r="W19" s="294" t="s">
        <v>152</v>
      </c>
    </row>
    <row r="20" spans="1:23" ht="26.25">
      <c r="A20" s="278" t="s">
        <v>110</v>
      </c>
      <c r="B20" s="12" t="s">
        <v>19</v>
      </c>
      <c r="C20" s="315"/>
      <c r="D20" s="316">
        <v>39.63</v>
      </c>
      <c r="E20" s="317">
        <v>0.18</v>
      </c>
      <c r="F20" s="318">
        <f t="shared" si="0"/>
        <v>7.1334</v>
      </c>
      <c r="G20" s="319">
        <f t="shared" si="1"/>
        <v>46.763400000000004</v>
      </c>
      <c r="H20" s="320"/>
      <c r="I20" s="321"/>
      <c r="J20" s="322">
        <f>SUM(Main!C74)</f>
        <v>40.080000000000005</v>
      </c>
      <c r="K20" s="323">
        <f>+L20/J20</f>
        <v>0.1799999999999999</v>
      </c>
      <c r="L20" s="324">
        <f>+M20-J20</f>
        <v>7.214399999999998</v>
      </c>
      <c r="M20" s="325">
        <f>SUM(Main!D74)</f>
        <v>47.2944</v>
      </c>
      <c r="N20" s="326"/>
      <c r="O20" s="327">
        <f t="shared" si="2"/>
        <v>0.5309999999999988</v>
      </c>
      <c r="P20" s="328"/>
      <c r="Q20" s="329"/>
      <c r="R20" s="330">
        <f>'[1]Main'!D91</f>
        <v>44.017626691296</v>
      </c>
      <c r="S20" s="331">
        <f t="shared" si="3"/>
        <v>3.9376266912959963</v>
      </c>
      <c r="T20" s="332">
        <f t="shared" si="4"/>
        <v>0.0982441789245508</v>
      </c>
      <c r="U20" s="333"/>
      <c r="V20" s="334">
        <v>260</v>
      </c>
      <c r="W20" s="294" t="s">
        <v>145</v>
      </c>
    </row>
    <row r="21" spans="1:23" ht="26.25">
      <c r="A21" s="278" t="s">
        <v>110</v>
      </c>
      <c r="B21" s="12" t="s">
        <v>20</v>
      </c>
      <c r="C21" s="315"/>
      <c r="D21" s="316">
        <v>607.84</v>
      </c>
      <c r="E21" s="317">
        <v>0.12</v>
      </c>
      <c r="F21" s="318">
        <f t="shared" si="0"/>
        <v>72.9408</v>
      </c>
      <c r="G21" s="319">
        <f t="shared" si="1"/>
        <v>680.7808</v>
      </c>
      <c r="H21" s="320"/>
      <c r="I21" s="321"/>
      <c r="J21" s="322">
        <f>SUM(Main!C76)</f>
        <v>359.296</v>
      </c>
      <c r="K21" s="323">
        <f>+L21/J21</f>
        <v>0.1800000000000001</v>
      </c>
      <c r="L21" s="324">
        <f>+M21-J21</f>
        <v>64.67328000000003</v>
      </c>
      <c r="M21" s="325">
        <f>SUM(Main!D76)</f>
        <v>423.96928</v>
      </c>
      <c r="N21" s="326"/>
      <c r="O21" s="327">
        <f t="shared" si="2"/>
        <v>-256.81152</v>
      </c>
      <c r="P21" s="328"/>
      <c r="Q21" s="329"/>
      <c r="R21" s="330">
        <f>'[1]Main'!D93</f>
        <v>672.4143966149022</v>
      </c>
      <c r="S21" s="331">
        <f t="shared" si="3"/>
        <v>313.1183966149022</v>
      </c>
      <c r="T21" s="332">
        <f t="shared" si="4"/>
        <v>0.8714775466882521</v>
      </c>
      <c r="U21" s="333"/>
      <c r="V21" s="334">
        <v>128</v>
      </c>
      <c r="W21" s="294" t="s">
        <v>144</v>
      </c>
    </row>
    <row r="22" spans="1:23" ht="26.25">
      <c r="A22" s="278" t="s">
        <v>110</v>
      </c>
      <c r="B22" s="12" t="s">
        <v>21</v>
      </c>
      <c r="C22" s="315"/>
      <c r="D22" s="316">
        <v>236.8</v>
      </c>
      <c r="E22" s="317">
        <v>0.213</v>
      </c>
      <c r="F22" s="318">
        <f t="shared" si="0"/>
        <v>50.4384</v>
      </c>
      <c r="G22" s="319">
        <f t="shared" si="1"/>
        <v>287.2384</v>
      </c>
      <c r="H22" s="320"/>
      <c r="I22" s="321"/>
      <c r="J22" s="322">
        <f>SUM(Main!C80)</f>
        <v>412.09600000000006</v>
      </c>
      <c r="K22" s="323">
        <f>+L22/J22</f>
        <v>0.21433297095822315</v>
      </c>
      <c r="L22" s="324">
        <f>+M22-J22</f>
        <v>88.32575999999995</v>
      </c>
      <c r="M22" s="325">
        <f>SUM(Main!D80)</f>
        <v>500.42176</v>
      </c>
      <c r="N22" s="326"/>
      <c r="O22" s="327">
        <f t="shared" si="2"/>
        <v>213.18336</v>
      </c>
      <c r="P22" s="328"/>
      <c r="Q22" s="329"/>
      <c r="R22" s="330">
        <f>'[1]Main'!D98</f>
        <v>353.83603080747514</v>
      </c>
      <c r="S22" s="331">
        <f t="shared" si="3"/>
        <v>-58.25996919252492</v>
      </c>
      <c r="T22" s="332">
        <f t="shared" si="4"/>
        <v>-0.14137475052542348</v>
      </c>
      <c r="U22" s="333"/>
      <c r="V22" s="334">
        <v>80</v>
      </c>
      <c r="W22" s="294" t="s">
        <v>144</v>
      </c>
    </row>
    <row r="23" spans="1:23" ht="18">
      <c r="A23" s="278" t="s">
        <v>110</v>
      </c>
      <c r="B23" s="12" t="s">
        <v>22</v>
      </c>
      <c r="C23" s="315"/>
      <c r="D23" s="316">
        <v>58.527</v>
      </c>
      <c r="E23" s="317">
        <v>0.18</v>
      </c>
      <c r="F23" s="318">
        <f t="shared" si="0"/>
        <v>10.53486</v>
      </c>
      <c r="G23" s="319">
        <f t="shared" si="1"/>
        <v>69.06186</v>
      </c>
      <c r="H23" s="320"/>
      <c r="I23" s="321"/>
      <c r="J23" s="322">
        <f>SUM(Main!C84)</f>
        <v>319.2214400000001</v>
      </c>
      <c r="K23" s="323"/>
      <c r="L23" s="324">
        <f>+K23*J23</f>
        <v>0</v>
      </c>
      <c r="M23" s="325">
        <f>SUM(Main!D84)</f>
        <v>379.41409920000007</v>
      </c>
      <c r="N23" s="326"/>
      <c r="O23" s="327">
        <f t="shared" si="2"/>
        <v>310.3522392000001</v>
      </c>
      <c r="P23" s="328"/>
      <c r="Q23" s="329"/>
      <c r="R23" s="330" t="e">
        <f>'[1]Main'!D101</f>
        <v>#REF!</v>
      </c>
      <c r="S23" s="331" t="e">
        <f t="shared" si="3"/>
        <v>#REF!</v>
      </c>
      <c r="T23" s="332" t="e">
        <f t="shared" si="4"/>
        <v>#REF!</v>
      </c>
      <c r="U23" s="333"/>
      <c r="V23" s="334"/>
      <c r="W23" s="294" t="s">
        <v>146</v>
      </c>
    </row>
    <row r="24" spans="1:23" ht="18">
      <c r="A24" s="278" t="s">
        <v>154</v>
      </c>
      <c r="B24" s="12"/>
      <c r="C24" s="315">
        <f>SUM(D25:D27)</f>
        <v>1011.0250000000001</v>
      </c>
      <c r="D24" s="316"/>
      <c r="E24" s="317"/>
      <c r="F24" s="318"/>
      <c r="G24" s="319"/>
      <c r="H24" s="320"/>
      <c r="I24" s="321">
        <f>'[1]Main'!B103</f>
        <v>998.2615762711999</v>
      </c>
      <c r="J24" s="322" t="s">
        <v>110</v>
      </c>
      <c r="K24" s="323"/>
      <c r="L24" s="324"/>
      <c r="M24" s="325"/>
      <c r="N24" s="326"/>
      <c r="O24" s="327"/>
      <c r="P24" s="328">
        <f>'[1]Main'!C103</f>
        <v>1218.8036072484701</v>
      </c>
      <c r="Q24" s="329"/>
      <c r="R24" s="330" t="s">
        <v>110</v>
      </c>
      <c r="S24" s="310">
        <f>SUM(S25:S27)</f>
        <v>-78.06839275153004</v>
      </c>
      <c r="T24" s="311">
        <f>S24/I24</f>
        <v>-0.07820434504064397</v>
      </c>
      <c r="U24" s="333">
        <f>V25+V26+V27</f>
        <v>784</v>
      </c>
      <c r="V24" s="334"/>
      <c r="W24" s="294"/>
    </row>
    <row r="25" spans="1:23" ht="26.25">
      <c r="A25" s="278" t="s">
        <v>110</v>
      </c>
      <c r="B25" s="12" t="s">
        <v>162</v>
      </c>
      <c r="C25" s="315"/>
      <c r="D25" s="316">
        <v>378.4</v>
      </c>
      <c r="E25" s="317">
        <v>0.18</v>
      </c>
      <c r="F25" s="318">
        <f t="shared" si="0"/>
        <v>68.112</v>
      </c>
      <c r="G25" s="319">
        <f t="shared" si="1"/>
        <v>446.51199999999994</v>
      </c>
      <c r="H25" s="320"/>
      <c r="I25" s="321"/>
      <c r="J25" s="322">
        <f>SUM(Main!C93)</f>
        <v>325.08000000000004</v>
      </c>
      <c r="K25" s="323">
        <f>+L25/J25</f>
        <v>0.1800000000000004</v>
      </c>
      <c r="L25" s="324">
        <f>+M25-J25</f>
        <v>58.51440000000014</v>
      </c>
      <c r="M25" s="325">
        <f>SUM(Main!D93)</f>
        <v>383.5944000000002</v>
      </c>
      <c r="N25" s="326"/>
      <c r="O25" s="327">
        <f>+M25-G25</f>
        <v>-62.917599999999766</v>
      </c>
      <c r="P25" s="328"/>
      <c r="Q25" s="329"/>
      <c r="R25" s="330">
        <f>'[1]Main'!D104</f>
        <v>456.31833407196456</v>
      </c>
      <c r="S25" s="331">
        <f>R25-J25</f>
        <v>131.23833407196452</v>
      </c>
      <c r="T25" s="332">
        <f>S25/J25</f>
        <v>0.4037108836962117</v>
      </c>
      <c r="U25" s="333"/>
      <c r="V25" s="334">
        <v>784</v>
      </c>
      <c r="W25" s="294" t="s">
        <v>147</v>
      </c>
    </row>
    <row r="26" spans="1:23" ht="26.25">
      <c r="A26" s="278" t="s">
        <v>110</v>
      </c>
      <c r="B26" s="12" t="s">
        <v>65</v>
      </c>
      <c r="C26" s="315"/>
      <c r="D26" s="316">
        <v>466.935</v>
      </c>
      <c r="E26" s="317">
        <v>0.26</v>
      </c>
      <c r="F26" s="318">
        <f t="shared" si="0"/>
        <v>121.40310000000001</v>
      </c>
      <c r="G26" s="319">
        <f t="shared" si="1"/>
        <v>588.3381</v>
      </c>
      <c r="H26" s="320"/>
      <c r="I26" s="321"/>
      <c r="J26" s="322">
        <f>SUM(Main!C104)</f>
        <v>774.0000000000001</v>
      </c>
      <c r="K26" s="323">
        <f>+L26/J26</f>
        <v>0.25999999999999995</v>
      </c>
      <c r="L26" s="324">
        <f>+M26-J26</f>
        <v>201.24</v>
      </c>
      <c r="M26" s="325">
        <f>SUM(Main!D104)</f>
        <v>975.2400000000001</v>
      </c>
      <c r="N26" s="326"/>
      <c r="O26" s="327">
        <f t="shared" si="2"/>
        <v>386.90190000000007</v>
      </c>
      <c r="P26" s="328"/>
      <c r="Q26" s="329"/>
      <c r="R26" s="330">
        <f>'[1]Main'!D115</f>
        <v>574.000563278016</v>
      </c>
      <c r="S26" s="331">
        <f>R26-J26</f>
        <v>-199.99943672198413</v>
      </c>
      <c r="T26" s="332">
        <f>S26/J26</f>
        <v>-0.2583972050671629</v>
      </c>
      <c r="U26" s="333"/>
      <c r="V26" s="334">
        <v>0</v>
      </c>
      <c r="W26" s="294" t="s">
        <v>148</v>
      </c>
    </row>
    <row r="27" spans="1:25" s="341" customFormat="1" ht="18">
      <c r="A27" s="278" t="s">
        <v>110</v>
      </c>
      <c r="B27" s="12" t="s">
        <v>66</v>
      </c>
      <c r="C27" s="315"/>
      <c r="D27" s="316">
        <v>165.69</v>
      </c>
      <c r="E27" s="317">
        <v>0.18</v>
      </c>
      <c r="F27" s="318">
        <f t="shared" si="0"/>
        <v>29.824199999999998</v>
      </c>
      <c r="G27" s="319">
        <f t="shared" si="1"/>
        <v>195.5142</v>
      </c>
      <c r="H27" s="320"/>
      <c r="I27" s="321"/>
      <c r="J27" s="322">
        <f>SUM(Main!C112)</f>
        <v>197.79200000000003</v>
      </c>
      <c r="K27" s="323">
        <f>+L27/J27</f>
        <v>0.17999999999999988</v>
      </c>
      <c r="L27" s="324">
        <f>+M27-J27</f>
        <v>35.60255999999998</v>
      </c>
      <c r="M27" s="325">
        <f>SUM(Main!D112)</f>
        <v>233.39456</v>
      </c>
      <c r="N27" s="326"/>
      <c r="O27" s="327">
        <f t="shared" si="2"/>
        <v>37.880360000000024</v>
      </c>
      <c r="P27" s="328"/>
      <c r="Q27" s="329"/>
      <c r="R27" s="330">
        <f>'[1]Main'!D118</f>
        <v>188.4847098984896</v>
      </c>
      <c r="S27" s="331">
        <f>R27-J27</f>
        <v>-9.307290101510432</v>
      </c>
      <c r="T27" s="332">
        <f>S27/J27</f>
        <v>-0.04705594817540867</v>
      </c>
      <c r="U27" s="333"/>
      <c r="V27" s="334">
        <v>0</v>
      </c>
      <c r="W27" s="294" t="s">
        <v>149</v>
      </c>
      <c r="X27" s="340"/>
      <c r="Y27" s="340"/>
    </row>
    <row r="28" spans="1:23" ht="18">
      <c r="A28" s="278" t="s">
        <v>200</v>
      </c>
      <c r="B28" s="12"/>
      <c r="C28" s="315">
        <f>SUM(D29:D31)</f>
        <v>5586.911</v>
      </c>
      <c r="D28" s="316">
        <v>1E-05</v>
      </c>
      <c r="E28" s="317"/>
      <c r="F28" s="318"/>
      <c r="G28" s="319">
        <v>1E-06</v>
      </c>
      <c r="H28" s="320"/>
      <c r="I28" s="321" t="e">
        <f>'[1]Main'!B107</f>
        <v>#REF!</v>
      </c>
      <c r="J28" s="322">
        <f>SUM(Main!C107)</f>
        <v>108.912</v>
      </c>
      <c r="K28" s="323">
        <f>+L28/J28</f>
        <v>0.2599999999999999</v>
      </c>
      <c r="L28" s="324">
        <f>+M28-J28</f>
        <v>28.31711999999999</v>
      </c>
      <c r="M28" s="325">
        <f>SUM(Main!D107)</f>
        <v>137.22912</v>
      </c>
      <c r="N28" s="326"/>
      <c r="O28" s="327">
        <f t="shared" si="2"/>
        <v>137.229119</v>
      </c>
      <c r="P28" s="328" t="e">
        <f>'[1]Main'!C107</f>
        <v>#REF!</v>
      </c>
      <c r="Q28" s="329"/>
      <c r="R28" s="330" t="s">
        <v>110</v>
      </c>
      <c r="S28" s="310" t="e">
        <f>SUM(S29:S31)</f>
        <v>#REF!</v>
      </c>
      <c r="T28" s="311" t="e">
        <f>S28/I28</f>
        <v>#REF!</v>
      </c>
      <c r="U28" s="333">
        <f>V29+V30+V31</f>
        <v>2896</v>
      </c>
      <c r="V28" s="334"/>
      <c r="W28" s="294"/>
    </row>
    <row r="29" spans="1:25" s="384" customFormat="1" ht="18">
      <c r="A29" s="383"/>
      <c r="C29" s="385"/>
      <c r="D29" s="386"/>
      <c r="E29" s="387"/>
      <c r="F29" s="388"/>
      <c r="G29" s="389"/>
      <c r="H29" s="390"/>
      <c r="I29" s="391"/>
      <c r="J29" s="392"/>
      <c r="K29" s="393"/>
      <c r="L29" s="394"/>
      <c r="M29" s="395"/>
      <c r="N29" s="326"/>
      <c r="O29" s="327"/>
      <c r="P29" s="396"/>
      <c r="Q29" s="397"/>
      <c r="R29" s="398"/>
      <c r="S29" s="399"/>
      <c r="T29" s="400"/>
      <c r="U29" s="401"/>
      <c r="V29" s="402"/>
      <c r="W29" s="403"/>
      <c r="X29" s="288"/>
      <c r="Y29" s="288"/>
    </row>
    <row r="30" spans="1:25" s="384" customFormat="1" ht="18">
      <c r="A30" s="383"/>
      <c r="C30" s="385"/>
      <c r="D30" s="386"/>
      <c r="E30" s="387"/>
      <c r="F30" s="388"/>
      <c r="G30" s="389"/>
      <c r="H30" s="390"/>
      <c r="I30" s="391"/>
      <c r="J30" s="392"/>
      <c r="K30" s="393"/>
      <c r="L30" s="394"/>
      <c r="M30" s="395"/>
      <c r="N30" s="326"/>
      <c r="O30" s="327"/>
      <c r="P30" s="396"/>
      <c r="Q30" s="397"/>
      <c r="R30" s="398"/>
      <c r="S30" s="399"/>
      <c r="T30" s="400"/>
      <c r="U30" s="401"/>
      <c r="V30" s="402"/>
      <c r="W30" s="403"/>
      <c r="X30" s="288"/>
      <c r="Y30" s="288"/>
    </row>
    <row r="31" spans="1:22" ht="24" thickBot="1">
      <c r="A31" s="342"/>
      <c r="B31" s="343" t="str">
        <f>'[1]Main'!B131</f>
        <v> </v>
      </c>
      <c r="C31" s="344"/>
      <c r="D31" s="345">
        <f>SUM(C7:C27)</f>
        <v>5586.911</v>
      </c>
      <c r="E31" s="346"/>
      <c r="F31" s="347">
        <f>SUM(F8:F27)</f>
        <v>1056.12752</v>
      </c>
      <c r="G31" s="348">
        <f>SUM(G8:G28)</f>
        <v>6643.038521</v>
      </c>
      <c r="H31" s="349"/>
      <c r="I31" s="350"/>
      <c r="J31" s="351">
        <f>SUM(J8:J28)</f>
        <v>8069.907040000002</v>
      </c>
      <c r="K31" s="352"/>
      <c r="L31" s="353">
        <f>SUM(L8:L28)</f>
        <v>1780.5349279999984</v>
      </c>
      <c r="M31" s="354">
        <f>SUM(M8:M28)</f>
        <v>9910.634627200001</v>
      </c>
      <c r="N31" s="355"/>
      <c r="O31" s="356">
        <f t="shared" si="2"/>
        <v>3267.5961062000006</v>
      </c>
      <c r="P31" s="357">
        <f aca="true" t="shared" si="5" ref="P31:V31">SUM(P7:P27)</f>
        <v>7542.227886955179</v>
      </c>
      <c r="Q31" s="358"/>
      <c r="R31" s="359" t="e">
        <f t="shared" si="5"/>
        <v>#REF!</v>
      </c>
      <c r="S31" s="360" t="e">
        <f>R31-#REF!</f>
        <v>#REF!</v>
      </c>
      <c r="T31" s="361" t="e">
        <f>S31/#REF!</f>
        <v>#REF!</v>
      </c>
      <c r="U31" s="362">
        <f t="shared" si="5"/>
        <v>2896</v>
      </c>
      <c r="V31" s="363">
        <f t="shared" si="5"/>
        <v>2896</v>
      </c>
    </row>
    <row r="32" spans="5:9" ht="18">
      <c r="E32" s="364"/>
      <c r="I32" s="366"/>
    </row>
    <row r="33" ht="18">
      <c r="E33" s="367"/>
    </row>
    <row r="37" ht="18">
      <c r="F37" s="368"/>
    </row>
    <row r="42" spans="9:22" ht="18">
      <c r="I42" s="369"/>
      <c r="V42" s="255" t="s">
        <v>110</v>
      </c>
    </row>
    <row r="43" spans="1:13" ht="18">
      <c r="A43" s="370" t="str">
        <f>A7</f>
        <v>41- AC Power</v>
      </c>
      <c r="B43" s="11">
        <f>P7</f>
        <v>699.6168190861471</v>
      </c>
      <c r="C43" s="371"/>
      <c r="D43" s="372"/>
      <c r="E43" s="373"/>
      <c r="F43" s="374"/>
      <c r="G43" s="375"/>
      <c r="H43" s="283"/>
      <c r="I43" s="369"/>
      <c r="M43" s="375"/>
    </row>
    <row r="44" spans="1:13" ht="18">
      <c r="A44" s="370" t="str">
        <f>A10</f>
        <v>42 - AC/DC Converters</v>
      </c>
      <c r="B44" s="11">
        <f>P10</f>
        <v>30.841353624799996</v>
      </c>
      <c r="C44" s="371"/>
      <c r="D44" s="372"/>
      <c r="E44" s="373"/>
      <c r="F44" s="374"/>
      <c r="G44" s="375"/>
      <c r="H44" s="283"/>
      <c r="I44" s="369"/>
      <c r="M44" s="375"/>
    </row>
    <row r="45" spans="1:13" ht="18">
      <c r="A45" s="370" t="str">
        <f>A13</f>
        <v>43 - DC Systems</v>
      </c>
      <c r="B45" s="11">
        <f>P13</f>
        <v>3732.858876871209</v>
      </c>
      <c r="C45" s="371"/>
      <c r="D45" s="372"/>
      <c r="E45" s="373"/>
      <c r="F45" s="374"/>
      <c r="G45" s="375"/>
      <c r="H45" s="283"/>
      <c r="I45" s="369"/>
      <c r="M45" s="375"/>
    </row>
    <row r="46" spans="1:13" ht="18">
      <c r="A46" s="376" t="str">
        <f>A17</f>
        <v>44 - Control &amp; Protection Systems</v>
      </c>
      <c r="B46" s="33">
        <f>P17</f>
        <v>1860.1072301245536</v>
      </c>
      <c r="C46" s="371"/>
      <c r="D46" s="372"/>
      <c r="E46" s="373"/>
      <c r="F46" s="374"/>
      <c r="G46" s="375"/>
      <c r="H46" s="283"/>
      <c r="I46" s="369"/>
      <c r="M46" s="375"/>
    </row>
    <row r="47" spans="1:13" ht="18.75" thickBot="1">
      <c r="A47" s="377" t="str">
        <f>A24</f>
        <v>45 - System Design and Integration</v>
      </c>
      <c r="B47" s="34">
        <f>P24</f>
        <v>1218.8036072484701</v>
      </c>
      <c r="C47" s="371"/>
      <c r="D47" s="372"/>
      <c r="E47" s="373"/>
      <c r="F47" s="374"/>
      <c r="G47" s="375"/>
      <c r="H47" s="283"/>
      <c r="I47" s="369"/>
      <c r="M47" s="375"/>
    </row>
    <row r="48" spans="1:13" ht="18.75" thickBot="1">
      <c r="A48" s="378" t="s">
        <v>43</v>
      </c>
      <c r="B48" s="35">
        <f>SUM(B43:B47)</f>
        <v>7542.227886955179</v>
      </c>
      <c r="C48" s="371"/>
      <c r="D48" s="379"/>
      <c r="E48" s="380"/>
      <c r="F48" s="381"/>
      <c r="G48" s="375"/>
      <c r="H48" s="382"/>
      <c r="M48" s="375"/>
    </row>
  </sheetData>
  <printOptions/>
  <pageMargins left="0.75" right="0.75" top="1" bottom="1" header="0.5" footer="0.5"/>
  <pageSetup fitToHeight="1" fitToWidth="1" horizontalDpi="600" verticalDpi="600" orientation="landscape" scale="73" r:id="rId2"/>
  <headerFooter alignWithMargins="0">
    <oddFooter>&amp;R&amp;F                   &amp;A              &amp;D  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M29" sqref="M29"/>
    </sheetView>
  </sheetViews>
  <sheetFormatPr defaultColWidth="9.00390625" defaultRowHeight="12"/>
  <cols>
    <col min="1" max="1" width="30.00390625" style="428" bestFit="1" customWidth="1"/>
    <col min="2" max="2" width="29.00390625" style="9" bestFit="1" customWidth="1"/>
    <col min="3" max="3" width="9.875" style="29" bestFit="1" customWidth="1"/>
    <col min="4" max="4" width="5.875" style="29" bestFit="1" customWidth="1"/>
    <col min="5" max="5" width="11.625" style="29" bestFit="1" customWidth="1"/>
    <col min="6" max="6" width="5.875" style="29" customWidth="1"/>
    <col min="7" max="7" width="8.625" style="29" bestFit="1" customWidth="1"/>
    <col min="8" max="8" width="8.625" style="30" bestFit="1" customWidth="1"/>
    <col min="9" max="9" width="9.875" style="29" bestFit="1" customWidth="1"/>
    <col min="10" max="10" width="5.875" style="29" bestFit="1" customWidth="1"/>
    <col min="11" max="11" width="27.125" style="10" customWidth="1"/>
    <col min="12" max="16384" width="11.375" style="9" customWidth="1"/>
  </cols>
  <sheetData>
    <row r="1" spans="1:11" ht="12.75">
      <c r="A1" s="438"/>
      <c r="B1" s="404"/>
      <c r="C1" s="405" t="s">
        <v>163</v>
      </c>
      <c r="D1" s="406"/>
      <c r="E1" s="405" t="s">
        <v>164</v>
      </c>
      <c r="F1" s="407"/>
      <c r="G1" s="408" t="s">
        <v>41</v>
      </c>
      <c r="H1" s="409" t="s">
        <v>42</v>
      </c>
      <c r="I1" s="405" t="s">
        <v>165</v>
      </c>
      <c r="J1" s="406"/>
      <c r="K1" s="410" t="s">
        <v>140</v>
      </c>
    </row>
    <row r="2" spans="1:11" s="32" customFormat="1" ht="12.75">
      <c r="A2" s="442" t="str">
        <f>Main!A4</f>
        <v>41- AC Power</v>
      </c>
      <c r="B2" s="411" t="s">
        <v>110</v>
      </c>
      <c r="C2" s="412">
        <f>Main!B4</f>
        <v>410.77600000000007</v>
      </c>
      <c r="D2" s="413" t="s">
        <v>110</v>
      </c>
      <c r="E2" s="412">
        <f>Main!C4</f>
        <v>484.71568</v>
      </c>
      <c r="F2" s="414" t="s">
        <v>110</v>
      </c>
      <c r="G2" s="415">
        <f>SUM(G3:G4)</f>
        <v>73.93967999999998</v>
      </c>
      <c r="H2" s="416">
        <f>G2/C2</f>
        <v>0.17999999999999994</v>
      </c>
      <c r="I2" s="412">
        <f>J3+J4</f>
        <v>190</v>
      </c>
      <c r="J2" s="413"/>
      <c r="K2" s="417"/>
    </row>
    <row r="3" spans="1:11" ht="51">
      <c r="A3" s="438" t="s">
        <v>110</v>
      </c>
      <c r="B3" s="404" t="str">
        <f>Main!B5</f>
        <v>411 - Auxiliary AC Power</v>
      </c>
      <c r="C3" s="418"/>
      <c r="D3" s="419">
        <f>Main!C5</f>
        <v>335.528</v>
      </c>
      <c r="E3" s="418"/>
      <c r="F3" s="420">
        <f>Main!D5</f>
        <v>395.92304</v>
      </c>
      <c r="G3" s="421">
        <f>F3-D3</f>
        <v>60.395039999999995</v>
      </c>
      <c r="H3" s="422">
        <f>G3/D3</f>
        <v>0.17999999999999997</v>
      </c>
      <c r="I3" s="418"/>
      <c r="J3" s="419">
        <v>169</v>
      </c>
      <c r="K3" s="410" t="s">
        <v>141</v>
      </c>
    </row>
    <row r="4" spans="1:11" ht="12.75">
      <c r="A4" s="438" t="s">
        <v>110</v>
      </c>
      <c r="B4" s="404" t="str">
        <f>Main!B10</f>
        <v>412 - Experimental AC Power</v>
      </c>
      <c r="C4" s="418"/>
      <c r="D4" s="419">
        <f>Main!C10</f>
        <v>75.24800000000002</v>
      </c>
      <c r="E4" s="418"/>
      <c r="F4" s="420">
        <f>Main!D10</f>
        <v>88.79264</v>
      </c>
      <c r="G4" s="421">
        <f>F4-D4</f>
        <v>13.544639999999987</v>
      </c>
      <c r="H4" s="422">
        <f>G4/D4</f>
        <v>0.17999999999999977</v>
      </c>
      <c r="I4" s="418"/>
      <c r="J4" s="419">
        <v>21</v>
      </c>
      <c r="K4" s="410" t="s">
        <v>150</v>
      </c>
    </row>
    <row r="5" spans="1:11" s="32" customFormat="1" ht="12.75">
      <c r="A5" s="442" t="str">
        <f>Main!A13</f>
        <v>42 - AC/DC Converters</v>
      </c>
      <c r="B5" s="411" t="s">
        <v>110</v>
      </c>
      <c r="C5" s="412">
        <f>Main!B13</f>
        <v>67.548</v>
      </c>
      <c r="D5" s="413" t="s">
        <v>110</v>
      </c>
      <c r="E5" s="412">
        <f>Main!C13</f>
        <v>79.70664</v>
      </c>
      <c r="F5" s="414" t="s">
        <v>110</v>
      </c>
      <c r="G5" s="415">
        <f>SUM(G6:G7)</f>
        <v>12.158639999999991</v>
      </c>
      <c r="H5" s="416">
        <f>G5/C5</f>
        <v>0.17999999999999985</v>
      </c>
      <c r="I5" s="412">
        <f>J6+J7</f>
        <v>41</v>
      </c>
      <c r="J5" s="413"/>
      <c r="K5" s="417"/>
    </row>
    <row r="6" spans="1:11" ht="12.75">
      <c r="A6" s="438" t="str">
        <f>Main!A14</f>
        <v> </v>
      </c>
      <c r="B6" s="404" t="str">
        <f>Main!B14</f>
        <v>421 - C-site AC/DC Converters</v>
      </c>
      <c r="C6" s="418"/>
      <c r="D6" s="419">
        <f>Main!C14</f>
        <v>0</v>
      </c>
      <c r="E6" s="418"/>
      <c r="F6" s="420">
        <f>Main!D14</f>
        <v>0</v>
      </c>
      <c r="G6" s="421">
        <f>F6-D6</f>
        <v>0</v>
      </c>
      <c r="H6" s="422" t="e">
        <f>G6/D6</f>
        <v>#DIV/0!</v>
      </c>
      <c r="I6" s="418"/>
      <c r="J6" s="419"/>
      <c r="K6" s="410" t="s">
        <v>143</v>
      </c>
    </row>
    <row r="7" spans="1:11" ht="12.75">
      <c r="A7" s="438" t="str">
        <f>Main!A16</f>
        <v> </v>
      </c>
      <c r="B7" s="404" t="str">
        <f>Main!B16</f>
        <v>422 - D-site AC/DC Converters</v>
      </c>
      <c r="C7" s="418"/>
      <c r="D7" s="419">
        <f>Main!C16</f>
        <v>67.548</v>
      </c>
      <c r="E7" s="418"/>
      <c r="F7" s="420">
        <f>Main!D16</f>
        <v>79.70664</v>
      </c>
      <c r="G7" s="421">
        <f>F7-D7</f>
        <v>12.158639999999991</v>
      </c>
      <c r="H7" s="422">
        <f>G7/D7</f>
        <v>0.17999999999999985</v>
      </c>
      <c r="I7" s="418"/>
      <c r="J7" s="419">
        <v>41</v>
      </c>
      <c r="K7" s="410" t="s">
        <v>142</v>
      </c>
    </row>
    <row r="8" spans="1:11" s="32" customFormat="1" ht="12.75">
      <c r="A8" s="442" t="str">
        <f>Main!A18</f>
        <v>43 - DC Systems</v>
      </c>
      <c r="B8" s="411" t="s">
        <v>110</v>
      </c>
      <c r="C8" s="412">
        <f>Main!B18</f>
        <v>4342.8640000000005</v>
      </c>
      <c r="D8" s="413" t="s">
        <v>110</v>
      </c>
      <c r="E8" s="412">
        <f>Main!C18</f>
        <v>5421.34848</v>
      </c>
      <c r="F8" s="414" t="s">
        <v>110</v>
      </c>
      <c r="G8" s="415">
        <f>SUM(G9:G11)</f>
        <v>1078.4844799999983</v>
      </c>
      <c r="H8" s="416">
        <f>G8/C8</f>
        <v>0.24833484999760483</v>
      </c>
      <c r="I8" s="412">
        <f>J9+J10+J11</f>
        <v>1154</v>
      </c>
      <c r="J8" s="413"/>
      <c r="K8" s="417"/>
    </row>
    <row r="9" spans="1:11" ht="12.75">
      <c r="A9" s="438" t="s">
        <v>110</v>
      </c>
      <c r="B9" s="404" t="str">
        <f>Main!B19</f>
        <v>431 - C-site DC Systems</v>
      </c>
      <c r="C9" s="418"/>
      <c r="D9" s="419">
        <f>Main!C19</f>
        <v>1055.688</v>
      </c>
      <c r="E9" s="418"/>
      <c r="F9" s="420">
        <f>Main!D19</f>
        <v>1244.8392</v>
      </c>
      <c r="G9" s="421">
        <f>F9-D9</f>
        <v>189.1511999999998</v>
      </c>
      <c r="H9" s="422">
        <f>G9/D9</f>
        <v>0.17917339213858618</v>
      </c>
      <c r="I9" s="418"/>
      <c r="J9" s="419">
        <v>0</v>
      </c>
      <c r="K9" s="410" t="s">
        <v>143</v>
      </c>
    </row>
    <row r="10" spans="1:11" ht="12.75">
      <c r="A10" s="438" t="s">
        <v>110</v>
      </c>
      <c r="B10" s="404" t="str">
        <f>Main!B33</f>
        <v>432 - D-to-C-Site DC Systems</v>
      </c>
      <c r="C10" s="418"/>
      <c r="D10" s="419">
        <f>Main!C33</f>
        <v>2453.8240000000005</v>
      </c>
      <c r="E10" s="418"/>
      <c r="F10" s="420">
        <f>Main!D33</f>
        <v>3188.942719999999</v>
      </c>
      <c r="G10" s="421">
        <f>F10-D10</f>
        <v>735.1187199999986</v>
      </c>
      <c r="H10" s="422">
        <f>G10/D10</f>
        <v>0.29958086643540793</v>
      </c>
      <c r="I10" s="418"/>
      <c r="J10" s="419">
        <v>0</v>
      </c>
      <c r="K10" s="410" t="s">
        <v>143</v>
      </c>
    </row>
    <row r="11" spans="1:11" ht="25.5">
      <c r="A11" s="438" t="s">
        <v>110</v>
      </c>
      <c r="B11" s="404" t="str">
        <f>Main!B45</f>
        <v>433 - D-site DC Systems</v>
      </c>
      <c r="C11" s="418"/>
      <c r="D11" s="419">
        <f>Main!C45</f>
        <v>833.352</v>
      </c>
      <c r="E11" s="418"/>
      <c r="F11" s="420">
        <f>Main!D45</f>
        <v>987.56656</v>
      </c>
      <c r="G11" s="421">
        <f>F11-D11</f>
        <v>154.21456</v>
      </c>
      <c r="H11" s="422">
        <f>G11/D11</f>
        <v>0.18505332680547956</v>
      </c>
      <c r="I11" s="418"/>
      <c r="J11" s="419">
        <v>1154</v>
      </c>
      <c r="K11" s="410" t="s">
        <v>151</v>
      </c>
    </row>
    <row r="12" spans="1:11" s="32" customFormat="1" ht="12.75">
      <c r="A12" s="442" t="str">
        <f>Main!A56</f>
        <v>44 - Control &amp; Protection Systems</v>
      </c>
      <c r="B12" s="411" t="s">
        <v>110</v>
      </c>
      <c r="C12" s="412">
        <f>Main!B56</f>
        <v>1842.93504</v>
      </c>
      <c r="D12" s="413" t="s">
        <v>110</v>
      </c>
      <c r="E12" s="412">
        <f>Main!C56</f>
        <v>2195.4057472</v>
      </c>
      <c r="F12" s="414" t="s">
        <v>110</v>
      </c>
      <c r="G12" s="415">
        <f>SUM(G13:G17)</f>
        <v>292.278048</v>
      </c>
      <c r="H12" s="416">
        <f>G12/C12</f>
        <v>0.15859378744027788</v>
      </c>
      <c r="I12" s="412">
        <f>J13+J14+J15+J16+J17+J18</f>
        <v>727</v>
      </c>
      <c r="J12" s="413"/>
      <c r="K12" s="417"/>
    </row>
    <row r="13" spans="1:11" ht="25.5">
      <c r="A13" s="438" t="s">
        <v>110</v>
      </c>
      <c r="B13" s="404" t="str">
        <f>Main!B57</f>
        <v>441 - Electrical Interlocks</v>
      </c>
      <c r="C13" s="418"/>
      <c r="D13" s="419">
        <f>Main!C57</f>
        <v>611.0735999999999</v>
      </c>
      <c r="E13" s="418"/>
      <c r="F13" s="420">
        <f>Main!D57</f>
        <v>724.927968</v>
      </c>
      <c r="G13" s="421">
        <f aca="true" t="shared" si="0" ref="G13:G18">F13-D13</f>
        <v>113.85436800000002</v>
      </c>
      <c r="H13" s="422">
        <f aca="true" t="shared" si="1" ref="H13:H18">G13/D13</f>
        <v>0.18631858420982356</v>
      </c>
      <c r="I13" s="418"/>
      <c r="J13" s="419">
        <v>209</v>
      </c>
      <c r="K13" s="410" t="s">
        <v>144</v>
      </c>
    </row>
    <row r="14" spans="1:11" ht="25.5">
      <c r="A14" s="438" t="s">
        <v>110</v>
      </c>
      <c r="B14" s="404" t="str">
        <f>Main!B72</f>
        <v>442 - Kirk Key Interlocks</v>
      </c>
      <c r="C14" s="418"/>
      <c r="D14" s="419">
        <f>Main!C72</f>
        <v>101.168</v>
      </c>
      <c r="E14" s="418"/>
      <c r="F14" s="420">
        <f>Main!D72</f>
        <v>119.37824</v>
      </c>
      <c r="G14" s="421">
        <f t="shared" si="0"/>
        <v>18.21024</v>
      </c>
      <c r="H14" s="422">
        <f t="shared" si="1"/>
        <v>0.17999999999999997</v>
      </c>
      <c r="I14" s="418"/>
      <c r="J14" s="419">
        <v>50</v>
      </c>
      <c r="K14" s="410" t="s">
        <v>152</v>
      </c>
    </row>
    <row r="15" spans="1:11" ht="25.5">
      <c r="A15" s="438" t="s">
        <v>110</v>
      </c>
      <c r="B15" s="404" t="str">
        <f>Main!B74</f>
        <v>443 - Real Time Control</v>
      </c>
      <c r="C15" s="418"/>
      <c r="D15" s="419">
        <f>Main!C74</f>
        <v>40.080000000000005</v>
      </c>
      <c r="E15" s="418"/>
      <c r="F15" s="420">
        <f>Main!D74</f>
        <v>47.2944</v>
      </c>
      <c r="G15" s="421">
        <f t="shared" si="0"/>
        <v>7.214399999999998</v>
      </c>
      <c r="H15" s="422">
        <f t="shared" si="1"/>
        <v>0.1799999999999999</v>
      </c>
      <c r="I15" s="418"/>
      <c r="J15" s="419">
        <v>260</v>
      </c>
      <c r="K15" s="410" t="s">
        <v>145</v>
      </c>
    </row>
    <row r="16" spans="1:11" ht="25.5">
      <c r="A16" s="438" t="s">
        <v>110</v>
      </c>
      <c r="B16" s="404" t="str">
        <f>Main!B76</f>
        <v>444 - Instrumentation</v>
      </c>
      <c r="C16" s="418"/>
      <c r="D16" s="419">
        <f>Main!C76</f>
        <v>359.296</v>
      </c>
      <c r="E16" s="418"/>
      <c r="F16" s="420">
        <f>Main!D76</f>
        <v>423.96928</v>
      </c>
      <c r="G16" s="421">
        <f t="shared" si="0"/>
        <v>64.67328000000003</v>
      </c>
      <c r="H16" s="422">
        <f t="shared" si="1"/>
        <v>0.1800000000000001</v>
      </c>
      <c r="I16" s="418"/>
      <c r="J16" s="419">
        <v>128</v>
      </c>
      <c r="K16" s="410" t="s">
        <v>144</v>
      </c>
    </row>
    <row r="17" spans="1:11" ht="25.5">
      <c r="A17" s="438" t="s">
        <v>110</v>
      </c>
      <c r="B17" s="404" t="str">
        <f>Main!B80</f>
        <v>445 - Coil Protection</v>
      </c>
      <c r="C17" s="418"/>
      <c r="D17" s="419">
        <f>Main!C80</f>
        <v>412.09600000000006</v>
      </c>
      <c r="E17" s="418"/>
      <c r="F17" s="420">
        <f>Main!D80</f>
        <v>500.42176</v>
      </c>
      <c r="G17" s="421">
        <f t="shared" si="0"/>
        <v>88.32575999999995</v>
      </c>
      <c r="H17" s="422">
        <f t="shared" si="1"/>
        <v>0.21433297095822315</v>
      </c>
      <c r="I17" s="418"/>
      <c r="J17" s="419">
        <v>80</v>
      </c>
      <c r="K17" s="410" t="s">
        <v>144</v>
      </c>
    </row>
    <row r="18" spans="1:11" ht="12.75">
      <c r="A18" s="438" t="s">
        <v>110</v>
      </c>
      <c r="B18" s="404" t="e">
        <f>Main!#REF!</f>
        <v>#REF!</v>
      </c>
      <c r="C18" s="418"/>
      <c r="D18" s="419" t="e">
        <f>Main!#REF!</f>
        <v>#REF!</v>
      </c>
      <c r="E18" s="418"/>
      <c r="F18" s="420" t="e">
        <f>Main!#REF!</f>
        <v>#REF!</v>
      </c>
      <c r="G18" s="421" t="e">
        <f t="shared" si="0"/>
        <v>#REF!</v>
      </c>
      <c r="H18" s="422" t="e">
        <f t="shared" si="1"/>
        <v>#REF!</v>
      </c>
      <c r="I18" s="418"/>
      <c r="J18" s="419"/>
      <c r="K18" s="410" t="s">
        <v>146</v>
      </c>
    </row>
    <row r="19" spans="1:11" ht="12.75">
      <c r="A19" s="438" t="str">
        <f>Main!A92</f>
        <v>45 - System Design and Integration</v>
      </c>
      <c r="B19" s="404" t="s">
        <v>110</v>
      </c>
      <c r="C19" s="418">
        <f>Main!B92</f>
        <v>1405.784</v>
      </c>
      <c r="D19" s="419" t="s">
        <v>110</v>
      </c>
      <c r="E19" s="418">
        <f>Main!C92</f>
        <v>1729.45808</v>
      </c>
      <c r="F19" s="420" t="s">
        <v>110</v>
      </c>
      <c r="G19" s="415">
        <f>SUM(G20:G22)</f>
        <v>122.43408000000011</v>
      </c>
      <c r="H19" s="416">
        <f>G19/C19</f>
        <v>0.08709309538307457</v>
      </c>
      <c r="I19" s="418">
        <f>J20+J21+J22</f>
        <v>784</v>
      </c>
      <c r="J19" s="419"/>
      <c r="K19" s="410"/>
    </row>
    <row r="20" spans="1:11" ht="25.5">
      <c r="A20" s="438" t="s">
        <v>110</v>
      </c>
      <c r="B20" s="404" t="str">
        <f>Main!B93</f>
        <v>451 - System Design</v>
      </c>
      <c r="C20" s="418"/>
      <c r="D20" s="419">
        <f>Main!C93</f>
        <v>325.08000000000004</v>
      </c>
      <c r="E20" s="418"/>
      <c r="F20" s="420">
        <f>Main!D93</f>
        <v>383.5944000000002</v>
      </c>
      <c r="G20" s="421">
        <f>F20-D20</f>
        <v>58.51440000000014</v>
      </c>
      <c r="H20" s="422">
        <f>G20/D20</f>
        <v>0.1800000000000004</v>
      </c>
      <c r="I20" s="418"/>
      <c r="J20" s="419">
        <v>784</v>
      </c>
      <c r="K20" s="410" t="s">
        <v>147</v>
      </c>
    </row>
    <row r="21" spans="1:11" ht="25.5">
      <c r="A21" s="438" t="s">
        <v>110</v>
      </c>
      <c r="B21" s="404" t="str">
        <f>Main!B107</f>
        <v>46- FCPCBuilding Modifications</v>
      </c>
      <c r="C21" s="418"/>
      <c r="D21" s="419">
        <f>Main!C107</f>
        <v>108.912</v>
      </c>
      <c r="E21" s="418"/>
      <c r="F21" s="420">
        <f>Main!D107</f>
        <v>137.22912</v>
      </c>
      <c r="G21" s="421">
        <f>F21-D21</f>
        <v>28.31711999999999</v>
      </c>
      <c r="H21" s="422">
        <f>G21/D21</f>
        <v>0.2599999999999999</v>
      </c>
      <c r="I21" s="418"/>
      <c r="J21" s="419">
        <v>0</v>
      </c>
      <c r="K21" s="410" t="s">
        <v>148</v>
      </c>
    </row>
    <row r="22" spans="1:11" ht="13.5" thickBot="1">
      <c r="A22" s="438" t="s">
        <v>110</v>
      </c>
      <c r="B22" s="404" t="str">
        <f>Main!B112</f>
        <v>453 - System Testing</v>
      </c>
      <c r="C22" s="423"/>
      <c r="D22" s="424">
        <f>Main!C112</f>
        <v>197.79200000000003</v>
      </c>
      <c r="E22" s="423"/>
      <c r="F22" s="425">
        <f>Main!D112</f>
        <v>233.39456</v>
      </c>
      <c r="G22" s="426">
        <f>F22-D22</f>
        <v>35.60255999999998</v>
      </c>
      <c r="H22" s="427">
        <f>G22/D22</f>
        <v>0.17999999999999988</v>
      </c>
      <c r="I22" s="423"/>
      <c r="J22" s="424">
        <v>0</v>
      </c>
      <c r="K22" s="410" t="s">
        <v>149</v>
      </c>
    </row>
    <row r="23" spans="2:11" ht="13.5" thickBot="1">
      <c r="B23" s="428" t="str">
        <f>Main!B125</f>
        <v> </v>
      </c>
      <c r="C23" s="429">
        <f aca="true" t="shared" si="2" ref="C23:J23">SUM(C2:C22)</f>
        <v>8069.90704</v>
      </c>
      <c r="D23" s="430" t="e">
        <f t="shared" si="2"/>
        <v>#REF!</v>
      </c>
      <c r="E23" s="429">
        <f t="shared" si="2"/>
        <v>9910.6346272</v>
      </c>
      <c r="F23" s="431" t="e">
        <f t="shared" si="2"/>
        <v>#REF!</v>
      </c>
      <c r="G23" s="432" t="e">
        <f>F23-D23</f>
        <v>#REF!</v>
      </c>
      <c r="H23" s="433" t="e">
        <f>G23/D23</f>
        <v>#REF!</v>
      </c>
      <c r="I23" s="429">
        <f t="shared" si="2"/>
        <v>2896</v>
      </c>
      <c r="J23" s="430">
        <f t="shared" si="2"/>
        <v>2896</v>
      </c>
      <c r="K23" s="434"/>
    </row>
    <row r="24" spans="2:11" ht="12.75">
      <c r="B24" s="428"/>
      <c r="C24" s="435"/>
      <c r="D24" s="435"/>
      <c r="E24" s="435"/>
      <c r="F24" s="435"/>
      <c r="G24" s="435"/>
      <c r="H24" s="436"/>
      <c r="I24" s="435"/>
      <c r="J24" s="435"/>
      <c r="K24" s="434"/>
    </row>
    <row r="25" spans="2:11" ht="12.75">
      <c r="B25" s="428"/>
      <c r="C25" s="437"/>
      <c r="D25" s="435"/>
      <c r="E25" s="435"/>
      <c r="F25" s="435"/>
      <c r="G25" s="435"/>
      <c r="H25" s="436"/>
      <c r="I25" s="435"/>
      <c r="J25" s="435" t="s">
        <v>110</v>
      </c>
      <c r="K25" s="434"/>
    </row>
    <row r="26" spans="1:11" ht="12.75">
      <c r="A26" s="438" t="str">
        <f>A2</f>
        <v>41- AC Power</v>
      </c>
      <c r="B26" s="438">
        <f>E2</f>
        <v>484.71568</v>
      </c>
      <c r="C26" s="437"/>
      <c r="D26" s="435"/>
      <c r="E26" s="435"/>
      <c r="F26" s="435"/>
      <c r="G26" s="435"/>
      <c r="H26" s="436"/>
      <c r="I26" s="435"/>
      <c r="J26" s="435"/>
      <c r="K26" s="434"/>
    </row>
    <row r="27" spans="1:11" ht="12.75">
      <c r="A27" s="438" t="str">
        <f>A5</f>
        <v>42 - AC/DC Converters</v>
      </c>
      <c r="B27" s="438">
        <f>E5</f>
        <v>79.70664</v>
      </c>
      <c r="C27" s="437"/>
      <c r="D27" s="435"/>
      <c r="E27" s="435"/>
      <c r="F27" s="435"/>
      <c r="G27" s="435"/>
      <c r="H27" s="436"/>
      <c r="I27" s="435"/>
      <c r="J27" s="435"/>
      <c r="K27" s="434"/>
    </row>
    <row r="28" spans="1:11" ht="12.75">
      <c r="A28" s="438" t="str">
        <f>A8</f>
        <v>43 - DC Systems</v>
      </c>
      <c r="B28" s="438">
        <f>E8</f>
        <v>5421.34848</v>
      </c>
      <c r="C28" s="437"/>
      <c r="D28" s="435"/>
      <c r="E28" s="435"/>
      <c r="F28" s="435"/>
      <c r="G28" s="435"/>
      <c r="H28" s="436"/>
      <c r="I28" s="435"/>
      <c r="J28" s="435"/>
      <c r="K28" s="434"/>
    </row>
    <row r="29" spans="1:11" ht="12.75">
      <c r="A29" s="439" t="str">
        <f>A12</f>
        <v>44 - Control &amp; Protection Systems</v>
      </c>
      <c r="B29" s="439">
        <f>E12</f>
        <v>2195.4057472</v>
      </c>
      <c r="C29" s="437"/>
      <c r="D29" s="435"/>
      <c r="E29" s="435"/>
      <c r="F29" s="435"/>
      <c r="G29" s="435"/>
      <c r="H29" s="436"/>
      <c r="I29" s="435"/>
      <c r="J29" s="435"/>
      <c r="K29" s="434"/>
    </row>
    <row r="30" spans="1:11" ht="13.5" thickBot="1">
      <c r="A30" s="443" t="str">
        <f>A19</f>
        <v>45 - System Design and Integration</v>
      </c>
      <c r="B30" s="440">
        <f>E19</f>
        <v>1729.45808</v>
      </c>
      <c r="C30" s="437"/>
      <c r="D30" s="435"/>
      <c r="E30" s="435"/>
      <c r="F30" s="435"/>
      <c r="G30" s="435"/>
      <c r="H30" s="436"/>
      <c r="I30" s="435"/>
      <c r="J30" s="435"/>
      <c r="K30" s="434"/>
    </row>
    <row r="31" spans="1:11" ht="13.5" thickBot="1">
      <c r="A31" s="444" t="s">
        <v>43</v>
      </c>
      <c r="B31" s="441">
        <f>SUM(B26:B30)</f>
        <v>9910.6346272</v>
      </c>
      <c r="C31" s="435"/>
      <c r="D31" s="435"/>
      <c r="E31" s="435"/>
      <c r="F31" s="435"/>
      <c r="G31" s="435"/>
      <c r="H31" s="436"/>
      <c r="I31" s="435"/>
      <c r="J31" s="435"/>
      <c r="K31" s="434"/>
    </row>
    <row r="32" spans="2:11" ht="12.75">
      <c r="B32" s="428"/>
      <c r="C32" s="435"/>
      <c r="D32" s="435"/>
      <c r="E32" s="435"/>
      <c r="F32" s="435"/>
      <c r="G32" s="435"/>
      <c r="H32" s="436"/>
      <c r="I32" s="435"/>
      <c r="J32" s="435"/>
      <c r="K32" s="434"/>
    </row>
    <row r="33" spans="2:11" ht="12.75">
      <c r="B33" s="428"/>
      <c r="C33" s="435"/>
      <c r="D33" s="435"/>
      <c r="E33" s="435"/>
      <c r="F33" s="435"/>
      <c r="G33" s="435"/>
      <c r="H33" s="436"/>
      <c r="I33" s="435"/>
      <c r="J33" s="435"/>
      <c r="K33" s="434"/>
    </row>
    <row r="34" spans="2:11" ht="12.75">
      <c r="B34" s="428"/>
      <c r="C34" s="435"/>
      <c r="D34" s="435"/>
      <c r="E34" s="435"/>
      <c r="F34" s="435"/>
      <c r="G34" s="435"/>
      <c r="H34" s="436"/>
      <c r="I34" s="435"/>
      <c r="J34" s="435"/>
      <c r="K34" s="434"/>
    </row>
    <row r="35" spans="2:11" ht="12.75">
      <c r="B35" s="428"/>
      <c r="C35" s="435"/>
      <c r="D35" s="435"/>
      <c r="E35" s="435"/>
      <c r="F35" s="435"/>
      <c r="G35" s="435"/>
      <c r="H35" s="436"/>
      <c r="I35" s="435"/>
      <c r="J35" s="435"/>
      <c r="K35" s="434"/>
    </row>
    <row r="36" spans="2:11" ht="12.75">
      <c r="B36" s="428"/>
      <c r="C36" s="435"/>
      <c r="D36" s="435"/>
      <c r="E36" s="435"/>
      <c r="F36" s="435"/>
      <c r="G36" s="435"/>
      <c r="H36" s="436"/>
      <c r="I36" s="435"/>
      <c r="J36" s="435"/>
      <c r="K36" s="434"/>
    </row>
    <row r="37" spans="2:11" ht="12.75">
      <c r="B37" s="428"/>
      <c r="C37" s="435"/>
      <c r="D37" s="435"/>
      <c r="E37" s="435"/>
      <c r="F37" s="435"/>
      <c r="G37" s="435"/>
      <c r="H37" s="436"/>
      <c r="I37" s="435"/>
      <c r="J37" s="435"/>
      <c r="K37" s="434"/>
    </row>
    <row r="38" spans="2:11" ht="12.75">
      <c r="B38" s="428"/>
      <c r="C38" s="435"/>
      <c r="D38" s="435"/>
      <c r="E38" s="435"/>
      <c r="F38" s="435"/>
      <c r="G38" s="435"/>
      <c r="H38" s="436"/>
      <c r="I38" s="435"/>
      <c r="J38" s="435"/>
      <c r="K38" s="434"/>
    </row>
    <row r="39" spans="2:11" ht="12.75">
      <c r="B39" s="428"/>
      <c r="C39" s="435"/>
      <c r="D39" s="435"/>
      <c r="E39" s="435"/>
      <c r="F39" s="435"/>
      <c r="G39" s="435"/>
      <c r="H39" s="436"/>
      <c r="I39" s="435"/>
      <c r="J39" s="435"/>
      <c r="K39" s="434"/>
    </row>
    <row r="40" spans="2:11" ht="12.75">
      <c r="B40" s="428"/>
      <c r="C40" s="435"/>
      <c r="D40" s="435"/>
      <c r="E40" s="435"/>
      <c r="F40" s="435"/>
      <c r="G40" s="435"/>
      <c r="H40" s="436"/>
      <c r="I40" s="435"/>
      <c r="J40" s="435"/>
      <c r="K40" s="434"/>
    </row>
    <row r="41" spans="2:11" ht="12.75">
      <c r="B41" s="428"/>
      <c r="C41" s="435"/>
      <c r="D41" s="435"/>
      <c r="E41" s="435"/>
      <c r="F41" s="435"/>
      <c r="G41" s="435"/>
      <c r="H41" s="436"/>
      <c r="I41" s="435"/>
      <c r="J41" s="435"/>
      <c r="K41" s="434"/>
    </row>
    <row r="42" spans="2:11" ht="12.75">
      <c r="B42" s="428"/>
      <c r="C42" s="435"/>
      <c r="D42" s="435"/>
      <c r="E42" s="435"/>
      <c r="F42" s="435"/>
      <c r="G42" s="435"/>
      <c r="H42" s="436"/>
      <c r="I42" s="435"/>
      <c r="J42" s="435"/>
      <c r="K42" s="434"/>
    </row>
    <row r="43" spans="2:11" ht="12.75">
      <c r="B43" s="428"/>
      <c r="C43" s="435"/>
      <c r="D43" s="435"/>
      <c r="E43" s="435"/>
      <c r="F43" s="435"/>
      <c r="G43" s="435"/>
      <c r="H43" s="436"/>
      <c r="I43" s="435"/>
      <c r="J43" s="435"/>
      <c r="K43" s="434"/>
    </row>
    <row r="44" spans="2:11" ht="12.75">
      <c r="B44" s="428"/>
      <c r="C44" s="435"/>
      <c r="D44" s="435"/>
      <c r="E44" s="435"/>
      <c r="F44" s="435"/>
      <c r="G44" s="435"/>
      <c r="H44" s="436"/>
      <c r="I44" s="435"/>
      <c r="J44" s="435"/>
      <c r="K44" s="434"/>
    </row>
    <row r="45" spans="2:11" ht="12.75">
      <c r="B45" s="428"/>
      <c r="C45" s="435"/>
      <c r="D45" s="435"/>
      <c r="E45" s="435"/>
      <c r="F45" s="435"/>
      <c r="G45" s="435"/>
      <c r="H45" s="436"/>
      <c r="I45" s="435"/>
      <c r="J45" s="435"/>
      <c r="K45" s="434"/>
    </row>
    <row r="46" spans="2:11" ht="12.75">
      <c r="B46" s="428"/>
      <c r="C46" s="435"/>
      <c r="D46" s="435"/>
      <c r="E46" s="435"/>
      <c r="F46" s="435"/>
      <c r="G46" s="435"/>
      <c r="H46" s="436"/>
      <c r="I46" s="435"/>
      <c r="J46" s="435"/>
      <c r="K46" s="434"/>
    </row>
    <row r="47" spans="2:11" ht="12.75">
      <c r="B47" s="428"/>
      <c r="C47" s="435"/>
      <c r="D47" s="435"/>
      <c r="E47" s="435"/>
      <c r="F47" s="435"/>
      <c r="G47" s="435"/>
      <c r="H47" s="436"/>
      <c r="I47" s="435"/>
      <c r="J47" s="435"/>
      <c r="K47" s="434"/>
    </row>
    <row r="48" spans="2:11" ht="12.75">
      <c r="B48" s="428"/>
      <c r="C48" s="435"/>
      <c r="D48" s="435"/>
      <c r="E48" s="435"/>
      <c r="F48" s="435"/>
      <c r="G48" s="435"/>
      <c r="H48" s="436"/>
      <c r="I48" s="435"/>
      <c r="J48" s="435"/>
      <c r="K48" s="434"/>
    </row>
    <row r="49" spans="2:11" ht="12.75">
      <c r="B49" s="428"/>
      <c r="C49" s="435"/>
      <c r="D49" s="435"/>
      <c r="E49" s="435"/>
      <c r="F49" s="435"/>
      <c r="G49" s="435"/>
      <c r="H49" s="436"/>
      <c r="I49" s="435"/>
      <c r="J49" s="435"/>
      <c r="K49" s="434"/>
    </row>
    <row r="50" spans="2:11" ht="12.75">
      <c r="B50" s="428"/>
      <c r="C50" s="435"/>
      <c r="D50" s="435"/>
      <c r="E50" s="435"/>
      <c r="F50" s="435"/>
      <c r="G50" s="435"/>
      <c r="H50" s="436"/>
      <c r="I50" s="435"/>
      <c r="J50" s="435"/>
      <c r="K50" s="434"/>
    </row>
    <row r="51" spans="2:11" ht="12.75">
      <c r="B51" s="428"/>
      <c r="C51" s="435"/>
      <c r="D51" s="435"/>
      <c r="E51" s="435"/>
      <c r="F51" s="435"/>
      <c r="G51" s="435"/>
      <c r="H51" s="436"/>
      <c r="I51" s="435"/>
      <c r="J51" s="435"/>
      <c r="K51" s="434"/>
    </row>
    <row r="52" spans="2:11" ht="12.75">
      <c r="B52" s="428"/>
      <c r="C52" s="435"/>
      <c r="D52" s="435"/>
      <c r="E52" s="435"/>
      <c r="F52" s="435"/>
      <c r="G52" s="435"/>
      <c r="H52" s="436"/>
      <c r="I52" s="435"/>
      <c r="J52" s="435"/>
      <c r="K52" s="434"/>
    </row>
    <row r="53" spans="2:11" ht="12.75">
      <c r="B53" s="428"/>
      <c r="C53" s="435"/>
      <c r="D53" s="435"/>
      <c r="E53" s="435"/>
      <c r="F53" s="435"/>
      <c r="G53" s="435"/>
      <c r="H53" s="436"/>
      <c r="I53" s="435"/>
      <c r="J53" s="435"/>
      <c r="K53" s="434"/>
    </row>
    <row r="54" spans="2:11" ht="12.75">
      <c r="B54" s="428"/>
      <c r="C54" s="435"/>
      <c r="D54" s="435"/>
      <c r="E54" s="435"/>
      <c r="F54" s="435"/>
      <c r="G54" s="435"/>
      <c r="H54" s="436"/>
      <c r="I54" s="435"/>
      <c r="J54" s="435"/>
      <c r="K54" s="434"/>
    </row>
    <row r="55" spans="2:11" ht="12.75">
      <c r="B55" s="428"/>
      <c r="C55" s="435"/>
      <c r="D55" s="435"/>
      <c r="E55" s="435"/>
      <c r="F55" s="435"/>
      <c r="G55" s="435"/>
      <c r="H55" s="436"/>
      <c r="I55" s="435"/>
      <c r="J55" s="435"/>
      <c r="K55" s="434"/>
    </row>
    <row r="56" spans="2:11" ht="12.75">
      <c r="B56" s="428"/>
      <c r="C56" s="435"/>
      <c r="D56" s="435"/>
      <c r="E56" s="435"/>
      <c r="F56" s="435"/>
      <c r="G56" s="435"/>
      <c r="H56" s="436"/>
      <c r="I56" s="435"/>
      <c r="J56" s="435"/>
      <c r="K56" s="434"/>
    </row>
    <row r="57" spans="2:11" ht="12.75">
      <c r="B57" s="428"/>
      <c r="C57" s="435"/>
      <c r="D57" s="435"/>
      <c r="E57" s="435"/>
      <c r="F57" s="435"/>
      <c r="G57" s="435"/>
      <c r="H57" s="436"/>
      <c r="I57" s="435"/>
      <c r="J57" s="435"/>
      <c r="K57" s="434"/>
    </row>
    <row r="58" spans="2:11" ht="12.75">
      <c r="B58" s="428"/>
      <c r="C58" s="435"/>
      <c r="D58" s="435"/>
      <c r="E58" s="435"/>
      <c r="F58" s="435"/>
      <c r="G58" s="435"/>
      <c r="H58" s="436"/>
      <c r="I58" s="435"/>
      <c r="J58" s="435"/>
      <c r="K58" s="434"/>
    </row>
    <row r="59" spans="2:11" ht="12.75">
      <c r="B59" s="428"/>
      <c r="C59" s="435"/>
      <c r="D59" s="435"/>
      <c r="E59" s="435"/>
      <c r="F59" s="435"/>
      <c r="G59" s="435"/>
      <c r="H59" s="436"/>
      <c r="I59" s="435"/>
      <c r="J59" s="435"/>
      <c r="K59" s="434"/>
    </row>
    <row r="60" spans="2:11" ht="12.75">
      <c r="B60" s="428"/>
      <c r="C60" s="435"/>
      <c r="D60" s="435"/>
      <c r="E60" s="435"/>
      <c r="F60" s="435"/>
      <c r="G60" s="435"/>
      <c r="H60" s="436"/>
      <c r="I60" s="435"/>
      <c r="J60" s="435"/>
      <c r="K60" s="434"/>
    </row>
    <row r="61" spans="2:11" ht="12.75">
      <c r="B61" s="428"/>
      <c r="C61" s="435"/>
      <c r="D61" s="435"/>
      <c r="E61" s="435"/>
      <c r="F61" s="435"/>
      <c r="G61" s="435"/>
      <c r="H61" s="436"/>
      <c r="I61" s="435"/>
      <c r="J61" s="435"/>
      <c r="K61" s="434"/>
    </row>
    <row r="62" spans="2:11" ht="12.75">
      <c r="B62" s="428"/>
      <c r="C62" s="435"/>
      <c r="D62" s="435"/>
      <c r="E62" s="435"/>
      <c r="F62" s="435"/>
      <c r="G62" s="435"/>
      <c r="H62" s="436"/>
      <c r="I62" s="435"/>
      <c r="J62" s="435"/>
      <c r="K62" s="434"/>
    </row>
    <row r="63" spans="2:11" ht="12.75">
      <c r="B63" s="428"/>
      <c r="C63" s="435"/>
      <c r="D63" s="435"/>
      <c r="E63" s="435"/>
      <c r="F63" s="435"/>
      <c r="G63" s="435"/>
      <c r="H63" s="436"/>
      <c r="I63" s="435"/>
      <c r="J63" s="435"/>
      <c r="K63" s="434"/>
    </row>
    <row r="64" spans="2:11" ht="12.75">
      <c r="B64" s="428"/>
      <c r="C64" s="435"/>
      <c r="D64" s="435"/>
      <c r="E64" s="435"/>
      <c r="F64" s="435"/>
      <c r="G64" s="435"/>
      <c r="H64" s="436"/>
      <c r="I64" s="435"/>
      <c r="J64" s="435"/>
      <c r="K64" s="434"/>
    </row>
    <row r="65" spans="2:11" ht="12.75">
      <c r="B65" s="428"/>
      <c r="C65" s="435"/>
      <c r="D65" s="435"/>
      <c r="E65" s="435"/>
      <c r="F65" s="435"/>
      <c r="G65" s="435"/>
      <c r="H65" s="436"/>
      <c r="I65" s="435"/>
      <c r="J65" s="435"/>
      <c r="K65" s="434"/>
    </row>
    <row r="66" spans="2:11" ht="12.75">
      <c r="B66" s="428"/>
      <c r="C66" s="435"/>
      <c r="D66" s="435"/>
      <c r="E66" s="435"/>
      <c r="F66" s="435"/>
      <c r="G66" s="435"/>
      <c r="H66" s="436"/>
      <c r="I66" s="435"/>
      <c r="J66" s="435"/>
      <c r="K66" s="434"/>
    </row>
    <row r="67" spans="2:11" ht="12.75">
      <c r="B67" s="428"/>
      <c r="C67" s="435"/>
      <c r="D67" s="435"/>
      <c r="E67" s="435"/>
      <c r="F67" s="435"/>
      <c r="G67" s="435"/>
      <c r="H67" s="436"/>
      <c r="I67" s="435"/>
      <c r="J67" s="435"/>
      <c r="K67" s="434"/>
    </row>
    <row r="68" spans="2:11" ht="12.75">
      <c r="B68" s="428"/>
      <c r="C68" s="435"/>
      <c r="D68" s="435"/>
      <c r="E68" s="435"/>
      <c r="F68" s="435"/>
      <c r="G68" s="435"/>
      <c r="H68" s="436"/>
      <c r="I68" s="435"/>
      <c r="J68" s="435"/>
      <c r="K68" s="434"/>
    </row>
    <row r="69" spans="2:11" ht="12.75">
      <c r="B69" s="428"/>
      <c r="C69" s="435"/>
      <c r="D69" s="435"/>
      <c r="E69" s="435"/>
      <c r="F69" s="435"/>
      <c r="G69" s="435"/>
      <c r="H69" s="436"/>
      <c r="I69" s="435"/>
      <c r="J69" s="435"/>
      <c r="K69" s="434"/>
    </row>
    <row r="70" spans="2:11" ht="12.75">
      <c r="B70" s="428"/>
      <c r="C70" s="435"/>
      <c r="D70" s="435"/>
      <c r="E70" s="435"/>
      <c r="F70" s="435"/>
      <c r="G70" s="435"/>
      <c r="H70" s="436"/>
      <c r="I70" s="435"/>
      <c r="J70" s="435"/>
      <c r="K70" s="434"/>
    </row>
    <row r="71" spans="2:11" ht="12.75">
      <c r="B71" s="428"/>
      <c r="C71" s="435"/>
      <c r="D71" s="435"/>
      <c r="E71" s="435"/>
      <c r="F71" s="435"/>
      <c r="G71" s="435"/>
      <c r="H71" s="436"/>
      <c r="I71" s="435"/>
      <c r="J71" s="435"/>
      <c r="K71" s="434"/>
    </row>
    <row r="72" spans="2:11" ht="12.75">
      <c r="B72" s="428"/>
      <c r="C72" s="435"/>
      <c r="D72" s="435"/>
      <c r="E72" s="435"/>
      <c r="F72" s="435"/>
      <c r="G72" s="435"/>
      <c r="H72" s="436"/>
      <c r="I72" s="435"/>
      <c r="J72" s="435"/>
      <c r="K72" s="434"/>
    </row>
    <row r="73" spans="2:11" ht="12.75">
      <c r="B73" s="428"/>
      <c r="C73" s="435"/>
      <c r="D73" s="435"/>
      <c r="E73" s="435"/>
      <c r="F73" s="435"/>
      <c r="G73" s="435"/>
      <c r="H73" s="436"/>
      <c r="I73" s="435"/>
      <c r="J73" s="435"/>
      <c r="K73" s="434"/>
    </row>
    <row r="74" spans="2:11" ht="12.75">
      <c r="B74" s="428"/>
      <c r="C74" s="435"/>
      <c r="D74" s="435"/>
      <c r="E74" s="435"/>
      <c r="F74" s="435"/>
      <c r="G74" s="435"/>
      <c r="H74" s="436"/>
      <c r="I74" s="435"/>
      <c r="J74" s="435"/>
      <c r="K74" s="434"/>
    </row>
    <row r="75" spans="2:11" ht="12.75">
      <c r="B75" s="428"/>
      <c r="C75" s="435"/>
      <c r="D75" s="435"/>
      <c r="E75" s="435"/>
      <c r="F75" s="435"/>
      <c r="G75" s="435"/>
      <c r="H75" s="436"/>
      <c r="I75" s="435"/>
      <c r="J75" s="435"/>
      <c r="K75" s="434"/>
    </row>
    <row r="76" spans="2:11" ht="12.75">
      <c r="B76" s="428"/>
      <c r="C76" s="435"/>
      <c r="D76" s="435"/>
      <c r="E76" s="435"/>
      <c r="F76" s="435"/>
      <c r="G76" s="435"/>
      <c r="H76" s="436"/>
      <c r="I76" s="435"/>
      <c r="J76" s="435"/>
      <c r="K76" s="434"/>
    </row>
    <row r="77" spans="2:11" ht="12.75">
      <c r="B77" s="428"/>
      <c r="C77" s="435"/>
      <c r="D77" s="435"/>
      <c r="E77" s="435"/>
      <c r="F77" s="435"/>
      <c r="G77" s="435"/>
      <c r="H77" s="436"/>
      <c r="I77" s="435"/>
      <c r="J77" s="435"/>
      <c r="K77" s="434"/>
    </row>
    <row r="78" spans="2:11" ht="12.75">
      <c r="B78" s="428"/>
      <c r="C78" s="435"/>
      <c r="D78" s="435"/>
      <c r="E78" s="435"/>
      <c r="F78" s="435"/>
      <c r="G78" s="435"/>
      <c r="H78" s="436"/>
      <c r="I78" s="435"/>
      <c r="J78" s="435"/>
      <c r="K78" s="434"/>
    </row>
    <row r="79" spans="2:11" ht="12.75">
      <c r="B79" s="428"/>
      <c r="C79" s="435"/>
      <c r="D79" s="435"/>
      <c r="E79" s="435"/>
      <c r="F79" s="435"/>
      <c r="G79" s="435"/>
      <c r="H79" s="436"/>
      <c r="I79" s="435"/>
      <c r="J79" s="435"/>
      <c r="K79" s="434"/>
    </row>
    <row r="80" spans="2:11" ht="12.75">
      <c r="B80" s="428"/>
      <c r="C80" s="435"/>
      <c r="D80" s="435"/>
      <c r="E80" s="435"/>
      <c r="F80" s="435"/>
      <c r="G80" s="435"/>
      <c r="H80" s="436"/>
      <c r="I80" s="435"/>
      <c r="J80" s="435"/>
      <c r="K80" s="434"/>
    </row>
    <row r="81" spans="2:11" ht="12.75">
      <c r="B81" s="428"/>
      <c r="C81" s="435"/>
      <c r="D81" s="435"/>
      <c r="E81" s="435"/>
      <c r="F81" s="435"/>
      <c r="G81" s="435"/>
      <c r="H81" s="436"/>
      <c r="I81" s="435"/>
      <c r="J81" s="435"/>
      <c r="K81" s="434"/>
    </row>
    <row r="82" spans="2:11" ht="12.75">
      <c r="B82" s="428"/>
      <c r="C82" s="435"/>
      <c r="D82" s="435"/>
      <c r="E82" s="435"/>
      <c r="F82" s="435"/>
      <c r="G82" s="435"/>
      <c r="H82" s="436"/>
      <c r="I82" s="435"/>
      <c r="J82" s="435"/>
      <c r="K82" s="434"/>
    </row>
    <row r="83" spans="2:11" ht="12.75">
      <c r="B83" s="428"/>
      <c r="C83" s="435"/>
      <c r="D83" s="435"/>
      <c r="E83" s="435"/>
      <c r="F83" s="435"/>
      <c r="G83" s="435"/>
      <c r="H83" s="436"/>
      <c r="I83" s="435"/>
      <c r="J83" s="435"/>
      <c r="K83" s="434"/>
    </row>
  </sheetData>
  <printOptions/>
  <pageMargins left="0.75" right="0.75" top="1" bottom="1" header="0.5" footer="0.5"/>
  <pageSetup orientation="landscape" scale="90" r:id="rId2"/>
  <headerFooter alignWithMargins="0">
    <oddHeader>&amp;C&amp;"Geneva,Bold"&amp;14NCSX Power Systems Costs</oddHeader>
    <oddFooter>&amp;L&amp;"Geneva,Bold"&amp;10 2/9/01&amp;"Geneva,Regular"&amp;9
&amp;C&amp;"Geneva,Bold Italic"&amp;10&amp;P</oddFoot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Raki Ramakrishnan</cp:lastModifiedBy>
  <cp:lastPrinted>2006-10-11T14:04:39Z</cp:lastPrinted>
  <dcterms:created xsi:type="dcterms:W3CDTF">2000-12-15T17:35:23Z</dcterms:created>
  <dcterms:modified xsi:type="dcterms:W3CDTF">2006-10-13T13:59:46Z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