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PPL" sheetId="1" r:id="rId1"/>
    <sheet name="ORNL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mcarideo</author>
    <author>Kim Buturla</author>
  </authors>
  <commentList>
    <comment ref="K24" authorId="0">
      <text>
        <r>
          <rPr>
            <b/>
            <sz val="8"/>
            <rFont val="Tahoma"/>
            <family val="0"/>
          </rPr>
          <t>mcarideo:</t>
        </r>
        <r>
          <rPr>
            <sz val="8"/>
            <rFont val="Tahoma"/>
            <family val="0"/>
          </rPr>
          <t xml:space="preserve">
reversal of pcard accrual in sept 08
</t>
        </r>
      </text>
    </comment>
    <comment ref="I32" authorId="1">
      <text>
        <r>
          <rPr>
            <b/>
            <sz val="8"/>
            <rFont val="Tahoma"/>
            <family val="0"/>
          </rPr>
          <t>Kim Buturla:</t>
        </r>
        <r>
          <rPr>
            <sz val="8"/>
            <rFont val="Tahoma"/>
            <family val="0"/>
          </rPr>
          <t xml:space="preserve">
Mar07 - Proceeds from Kirksite scrap.</t>
        </r>
      </text>
    </comment>
    <comment ref="H46" authorId="1">
      <text>
        <r>
          <rPr>
            <b/>
            <sz val="8"/>
            <rFont val="Tahoma"/>
            <family val="0"/>
          </rPr>
          <t>Kim Buturla:</t>
        </r>
        <r>
          <rPr>
            <sz val="8"/>
            <rFont val="Tahoma"/>
            <family val="0"/>
          </rPr>
          <t xml:space="preserve">
Reversal of accrual for PE005160 per R. Templon email on 9/27/06.</t>
        </r>
      </text>
    </comment>
    <comment ref="I70" authorId="1">
      <text>
        <r>
          <rPr>
            <b/>
            <sz val="8"/>
            <rFont val="Tahoma"/>
            <family val="0"/>
          </rPr>
          <t>Kim Buturla:</t>
        </r>
        <r>
          <rPr>
            <sz val="8"/>
            <rFont val="Tahoma"/>
            <family val="0"/>
          </rPr>
          <t xml:space="preserve">
Oct06 - Reversal of FY06 Pcard accrual.</t>
        </r>
      </text>
    </comment>
    <comment ref="I90" authorId="0">
      <text>
        <r>
          <rPr>
            <b/>
            <sz val="8"/>
            <rFont val="Tahoma"/>
            <family val="0"/>
          </rPr>
          <t>mcarideo:</t>
        </r>
        <r>
          <rPr>
            <sz val="8"/>
            <rFont val="Tahoma"/>
            <family val="0"/>
          </rPr>
          <t xml:space="preserve">
rfba to move to GPP
</t>
        </r>
      </text>
    </comment>
    <comment ref="G91" authorId="1">
      <text>
        <r>
          <rPr>
            <b/>
            <sz val="8"/>
            <rFont val="Tahoma"/>
            <family val="0"/>
          </rPr>
          <t>Kim Buturla:</t>
        </r>
        <r>
          <rPr>
            <sz val="8"/>
            <rFont val="Tahoma"/>
            <family val="0"/>
          </rPr>
          <t xml:space="preserve">
Cost Transfer to 9403</t>
        </r>
      </text>
    </comment>
    <comment ref="I105" authorId="0">
      <text>
        <r>
          <rPr>
            <b/>
            <sz val="8"/>
            <rFont val="Tahoma"/>
            <family val="0"/>
          </rPr>
          <t>mcarideo:</t>
        </r>
        <r>
          <rPr>
            <sz val="8"/>
            <rFont val="Tahoma"/>
            <family val="0"/>
          </rPr>
          <t xml:space="preserve">
rfba to move to GPP
</t>
        </r>
      </text>
    </comment>
  </commentList>
</comments>
</file>

<file path=xl/sharedStrings.xml><?xml version="1.0" encoding="utf-8"?>
<sst xmlns="http://schemas.openxmlformats.org/spreadsheetml/2006/main" count="272" uniqueCount="150">
  <si>
    <t>Fabricated Equipment</t>
  </si>
  <si>
    <t>Total Project Cost as of 08-31-08</t>
  </si>
  <si>
    <t>CC</t>
  </si>
  <si>
    <t>WP</t>
  </si>
  <si>
    <t>JOB</t>
  </si>
  <si>
    <t>Description</t>
  </si>
  <si>
    <t>FY03</t>
  </si>
  <si>
    <t>FY04</t>
  </si>
  <si>
    <t>FY05</t>
  </si>
  <si>
    <t>FY06</t>
  </si>
  <si>
    <t>FY07</t>
  </si>
  <si>
    <t>FY08</t>
  </si>
  <si>
    <t>adj</t>
  </si>
  <si>
    <t>Total</t>
  </si>
  <si>
    <t>Asset ID</t>
  </si>
  <si>
    <t>****</t>
  </si>
  <si>
    <t>Cost Center Non-Job</t>
  </si>
  <si>
    <t>*NUL</t>
  </si>
  <si>
    <t>Management Reserve</t>
  </si>
  <si>
    <t>FY07 Ind Cost write off</t>
  </si>
  <si>
    <t>Total Since Inception</t>
  </si>
  <si>
    <t>Total Costs Already Assigned</t>
  </si>
  <si>
    <t>Costs Remaining in Job</t>
  </si>
  <si>
    <t>NCSX MIE Offsite</t>
  </si>
  <si>
    <t>8***</t>
  </si>
  <si>
    <t>NCSX Project oversight &amp; support</t>
  </si>
  <si>
    <t>Eng Mgt &amp; Sys Eng support</t>
  </si>
  <si>
    <t>NCSX MIE</t>
  </si>
  <si>
    <t>Total FY08 to 06/30/08</t>
  </si>
  <si>
    <t>NCSX FABRICATION</t>
  </si>
  <si>
    <t>x not on Ron's spreadsheet</t>
  </si>
  <si>
    <t>CRCD</t>
  </si>
  <si>
    <t>Credit Card Default</t>
  </si>
  <si>
    <t>1***</t>
  </si>
  <si>
    <t>NCSX Stellerator &amp; Core</t>
  </si>
  <si>
    <t xml:space="preserve"> </t>
  </si>
  <si>
    <t>Vacuum Vessel Design</t>
  </si>
  <si>
    <t>Vacuum Vessel R&amp;D</t>
  </si>
  <si>
    <t>Vacuum Vessel Final Design</t>
  </si>
  <si>
    <t>VV Sys Procurements (non VVSA)</t>
  </si>
  <si>
    <t>VV Field Weld Joint R&amp;D</t>
  </si>
  <si>
    <t>Vacuum Vessel Fabrication</t>
  </si>
  <si>
    <t>TF Design</t>
  </si>
  <si>
    <t>PF Coil Design</t>
  </si>
  <si>
    <t>NCSX Central Solenoid Support System</t>
  </si>
  <si>
    <t>TF Coil Fabrication Preparation</t>
  </si>
  <si>
    <t>TF Coil Materials</t>
  </si>
  <si>
    <t>PF Coil Fabrication</t>
  </si>
  <si>
    <t>Trim Coil and I&amp;C</t>
  </si>
  <si>
    <t>TF Coil Fabrication</t>
  </si>
  <si>
    <t>MOD Coil Design</t>
  </si>
  <si>
    <t>MOD Coil Analyses</t>
  </si>
  <si>
    <t>WBS 14 Final Design</t>
  </si>
  <si>
    <t>MCWF R&amp;D and Prod Casting</t>
  </si>
  <si>
    <t>MOD Coil Winding R&amp;D Pre</t>
  </si>
  <si>
    <t xml:space="preserve">MOD Coil Winding R&amp;D  </t>
  </si>
  <si>
    <t>MOD Coil Winding Facility</t>
  </si>
  <si>
    <t>MOD Coil Winding Supplies</t>
  </si>
  <si>
    <t>MOD Coil Test Stand</t>
  </si>
  <si>
    <t>MC Twisted Racetrack</t>
  </si>
  <si>
    <t>Modular Coil Casting Fab</t>
  </si>
  <si>
    <t>Complete Winding Facilities</t>
  </si>
  <si>
    <t>NCSX MCWF Fracture Analysis</t>
  </si>
  <si>
    <t>Coil Testing</t>
  </si>
  <si>
    <t>Dimensional Control Testing</t>
  </si>
  <si>
    <t>Mod Coil Final Design Type A&amp;B Coil</t>
  </si>
  <si>
    <t>NCSX Winding Facility Mode</t>
  </si>
  <si>
    <t>Mod Coil Interface Design &amp; Procurement</t>
  </si>
  <si>
    <t>Mod Coil Interface R&amp;D</t>
  </si>
  <si>
    <t>Mod Coil Interface Hardware Procurements</t>
  </si>
  <si>
    <t>Mod Coil Winding</t>
  </si>
  <si>
    <t>MCWF Unplanned Re-Work</t>
  </si>
  <si>
    <t>Mod Coil 3rd Winding Station</t>
  </si>
  <si>
    <t>Structures Design</t>
  </si>
  <si>
    <t>Structures Procurement</t>
  </si>
  <si>
    <t>Coil Services Design</t>
  </si>
  <si>
    <t>ORNL ?</t>
  </si>
  <si>
    <t>Field Period Assembly (ORNL)</t>
  </si>
  <si>
    <t>FP Assy Oversight&amp;Support</t>
  </si>
  <si>
    <t>FP Assy Tooling/Constructability</t>
  </si>
  <si>
    <t>FP Assy Measurement</t>
  </si>
  <si>
    <t>FP Assy Hardware &amp; Fixtures</t>
  </si>
  <si>
    <t>TF/Mod Coil Sub-Assembly</t>
  </si>
  <si>
    <t xml:space="preserve">Field Period Assembly  </t>
  </si>
  <si>
    <t>Field Period Assy Station 5</t>
  </si>
  <si>
    <t>FP Assy Prototyping &amp; Unplanned Work</t>
  </si>
  <si>
    <t>Stellerator Core Mgmt/Integration</t>
  </si>
  <si>
    <t>2***</t>
  </si>
  <si>
    <t xml:space="preserve">NCSX Plasma Heat, Fuel &amp; Vac System </t>
  </si>
  <si>
    <t>VPS Gas &amp; Conditioning</t>
  </si>
  <si>
    <t>Neutral Beam Refurbishment</t>
  </si>
  <si>
    <t>3***</t>
  </si>
  <si>
    <t>NCSX Diagnostics</t>
  </si>
  <si>
    <t>Magnetic Diagnostics</t>
  </si>
  <si>
    <t>Diagnostics Syst Integration</t>
  </si>
  <si>
    <t>4***</t>
  </si>
  <si>
    <t>NCSX Electrical Power Syst</t>
  </si>
  <si>
    <t>AC Power</t>
  </si>
  <si>
    <t>DC Systems</t>
  </si>
  <si>
    <t>NCSX Hybrid Power Syst Concept Design</t>
  </si>
  <si>
    <t>Control &amp; Protection</t>
  </si>
  <si>
    <t>Power Sys Dsn &amp; Integr</t>
  </si>
  <si>
    <t>FCPC Bldg Modifications</t>
  </si>
  <si>
    <t>5***</t>
  </si>
  <si>
    <t>NCSX Central I&amp;C Syst</t>
  </si>
  <si>
    <t>Central I&amp;C Integration</t>
  </si>
  <si>
    <t>6***</t>
  </si>
  <si>
    <t>NCSX Facility Syst</t>
  </si>
  <si>
    <t>Facility Systems Support</t>
  </si>
  <si>
    <t>Cryogenic Systems</t>
  </si>
  <si>
    <t>Facility Systems Integration</t>
  </si>
  <si>
    <t>7***</t>
  </si>
  <si>
    <t>NCSX Test Cell Prep &amp; Machine Assy</t>
  </si>
  <si>
    <t>Shield Wall MOD Des</t>
  </si>
  <si>
    <t>Platform Design/Fab</t>
  </si>
  <si>
    <t>TC Prep &amp; Mach Assy Planning</t>
  </si>
  <si>
    <t>Construction Crew</t>
  </si>
  <si>
    <t>NCSX Project Oversight &amp; Suprt</t>
  </si>
  <si>
    <t>Engr Mgmt &amp; Sys Eng Support</t>
  </si>
  <si>
    <t>Design Integration</t>
  </si>
  <si>
    <t>System Analysis</t>
  </si>
  <si>
    <t>NCSX Dimensional Control</t>
  </si>
  <si>
    <t>Project Rebaseline Estimating</t>
  </si>
  <si>
    <t>Plant Design</t>
  </si>
  <si>
    <t>NCSX Equip Disposition &amp; Facility Restora</t>
  </si>
  <si>
    <t>NCSX Documentation for closeout</t>
  </si>
  <si>
    <t>NCSX Manuscripts and Papers</t>
  </si>
  <si>
    <t>NCSX Integrated Sys test Doc</t>
  </si>
  <si>
    <t>Allocations</t>
  </si>
  <si>
    <t>(rounding)</t>
  </si>
  <si>
    <t>FY08 Ind Cost write off</t>
  </si>
  <si>
    <t>Total FY08 to 08/31/08</t>
  </si>
  <si>
    <t>UNKNOWN</t>
  </si>
  <si>
    <t>Cryostat Design</t>
  </si>
  <si>
    <t>Base Support Struct Design</t>
  </si>
  <si>
    <t>ORNL</t>
  </si>
  <si>
    <t>FY2003</t>
  </si>
  <si>
    <t>FY2004</t>
  </si>
  <si>
    <t>FY2005</t>
  </si>
  <si>
    <t>FY2006</t>
  </si>
  <si>
    <t>FY2007</t>
  </si>
  <si>
    <t>FY2008</t>
  </si>
  <si>
    <t>Project Physics ORNL</t>
  </si>
  <si>
    <t>Project Physics PPPL</t>
  </si>
  <si>
    <t>Project Management PPPL</t>
  </si>
  <si>
    <t>Project Management ORNL</t>
  </si>
  <si>
    <t>FPA Specs and dwgs</t>
  </si>
  <si>
    <t>NB transition ducts</t>
  </si>
  <si>
    <t>Coil local I&amp;C</t>
  </si>
  <si>
    <r>
      <t xml:space="preserve">NCSX Stellerator &amp; Core </t>
    </r>
    <r>
      <rPr>
        <b/>
        <sz val="10"/>
        <color indexed="12"/>
        <rFont val="Arial"/>
        <family val="2"/>
      </rPr>
      <t>(what's this???)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</si>
</sst>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 horizontal="center"/>
    </xf>
    <xf numFmtId="37" fontId="0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>
      <alignment horizontal="center"/>
    </xf>
    <xf numFmtId="37" fontId="0" fillId="2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12</xdr:row>
      <xdr:rowOff>85725</xdr:rowOff>
    </xdr:from>
    <xdr:to>
      <xdr:col>14</xdr:col>
      <xdr:colOff>381000</xdr:colOff>
      <xdr:row>109</xdr:row>
      <xdr:rowOff>85725</xdr:rowOff>
    </xdr:to>
    <xdr:sp>
      <xdr:nvSpPr>
        <xdr:cNvPr id="1" name="Polygon 21"/>
        <xdr:cNvSpPr>
          <a:spLocks/>
        </xdr:cNvSpPr>
      </xdr:nvSpPr>
      <xdr:spPr>
        <a:xfrm>
          <a:off x="11439525" y="2028825"/>
          <a:ext cx="1990725" cy="15963900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412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819150</xdr:colOff>
      <xdr:row>22</xdr:row>
      <xdr:rowOff>85725</xdr:rowOff>
    </xdr:from>
    <xdr:to>
      <xdr:col>15</xdr:col>
      <xdr:colOff>352425</xdr:colOff>
      <xdr:row>121</xdr:row>
      <xdr:rowOff>85725</xdr:rowOff>
    </xdr:to>
    <xdr:sp>
      <xdr:nvSpPr>
        <xdr:cNvPr id="2" name="Polygon 22"/>
        <xdr:cNvSpPr>
          <a:spLocks/>
        </xdr:cNvSpPr>
      </xdr:nvSpPr>
      <xdr:spPr>
        <a:xfrm>
          <a:off x="11277600" y="3648075"/>
          <a:ext cx="2733675" cy="16287750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44</xdr:row>
      <xdr:rowOff>85725</xdr:rowOff>
    </xdr:from>
    <xdr:to>
      <xdr:col>13</xdr:col>
      <xdr:colOff>19050</xdr:colOff>
      <xdr:row>52</xdr:row>
      <xdr:rowOff>66675</xdr:rowOff>
    </xdr:to>
    <xdr:sp>
      <xdr:nvSpPr>
        <xdr:cNvPr id="3" name="Polygon 23"/>
        <xdr:cNvSpPr>
          <a:spLocks/>
        </xdr:cNvSpPr>
      </xdr:nvSpPr>
      <xdr:spPr>
        <a:xfrm>
          <a:off x="11430000" y="7210425"/>
          <a:ext cx="1028700" cy="1276350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77</xdr:row>
      <xdr:rowOff>85725</xdr:rowOff>
    </xdr:from>
    <xdr:to>
      <xdr:col>12</xdr:col>
      <xdr:colOff>1076325</xdr:colOff>
      <xdr:row>78</xdr:row>
      <xdr:rowOff>104775</xdr:rowOff>
    </xdr:to>
    <xdr:sp>
      <xdr:nvSpPr>
        <xdr:cNvPr id="4" name="Polygon 24"/>
        <xdr:cNvSpPr>
          <a:spLocks/>
        </xdr:cNvSpPr>
      </xdr:nvSpPr>
      <xdr:spPr>
        <a:xfrm>
          <a:off x="11401425" y="12687300"/>
          <a:ext cx="1028700" cy="180975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78</xdr:row>
      <xdr:rowOff>238125</xdr:rowOff>
    </xdr:from>
    <xdr:to>
      <xdr:col>13</xdr:col>
      <xdr:colOff>38100</xdr:colOff>
      <xdr:row>80</xdr:row>
      <xdr:rowOff>76200</xdr:rowOff>
    </xdr:to>
    <xdr:sp>
      <xdr:nvSpPr>
        <xdr:cNvPr id="5" name="Polygon 25"/>
        <xdr:cNvSpPr>
          <a:spLocks/>
        </xdr:cNvSpPr>
      </xdr:nvSpPr>
      <xdr:spPr>
        <a:xfrm flipV="1">
          <a:off x="11449050" y="13001625"/>
          <a:ext cx="1028700" cy="285750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90</xdr:row>
      <xdr:rowOff>85725</xdr:rowOff>
    </xdr:from>
    <xdr:to>
      <xdr:col>13</xdr:col>
      <xdr:colOff>57150</xdr:colOff>
      <xdr:row>91</xdr:row>
      <xdr:rowOff>95250</xdr:rowOff>
    </xdr:to>
    <xdr:sp>
      <xdr:nvSpPr>
        <xdr:cNvPr id="6" name="Polygon 26"/>
        <xdr:cNvSpPr>
          <a:spLocks/>
        </xdr:cNvSpPr>
      </xdr:nvSpPr>
      <xdr:spPr>
        <a:xfrm flipV="1">
          <a:off x="11468100" y="14916150"/>
          <a:ext cx="1028700" cy="171450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69</xdr:row>
      <xdr:rowOff>123825</xdr:rowOff>
    </xdr:from>
    <xdr:to>
      <xdr:col>13</xdr:col>
      <xdr:colOff>428625</xdr:colOff>
      <xdr:row>99</xdr:row>
      <xdr:rowOff>104775</xdr:rowOff>
    </xdr:to>
    <xdr:sp>
      <xdr:nvSpPr>
        <xdr:cNvPr id="7" name="Polygon 27"/>
        <xdr:cNvSpPr>
          <a:spLocks/>
        </xdr:cNvSpPr>
      </xdr:nvSpPr>
      <xdr:spPr>
        <a:xfrm flipV="1">
          <a:off x="11439525" y="11296650"/>
          <a:ext cx="1428750" cy="5095875"/>
        </a:xfrm>
        <a:custGeom>
          <a:pathLst>
            <a:path h="689" w="165">
              <a:moveTo>
                <a:pt x="72" y="0"/>
              </a:moveTo>
              <a:lnTo>
                <a:pt x="165" y="0"/>
              </a:lnTo>
              <a:lnTo>
                <a:pt x="164" y="689"/>
              </a:lnTo>
              <a:lnTo>
                <a:pt x="0" y="689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98</xdr:row>
      <xdr:rowOff>133350</xdr:rowOff>
    </xdr:from>
    <xdr:to>
      <xdr:col>12</xdr:col>
      <xdr:colOff>676275</xdr:colOff>
      <xdr:row>100</xdr:row>
      <xdr:rowOff>47625</xdr:rowOff>
    </xdr:to>
    <xdr:sp>
      <xdr:nvSpPr>
        <xdr:cNvPr id="8" name="Oval 28"/>
        <xdr:cNvSpPr>
          <a:spLocks/>
        </xdr:cNvSpPr>
      </xdr:nvSpPr>
      <xdr:spPr>
        <a:xfrm>
          <a:off x="10477500" y="16259175"/>
          <a:ext cx="1552575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90</xdr:row>
      <xdr:rowOff>114300</xdr:rowOff>
    </xdr:from>
    <xdr:to>
      <xdr:col>12</xdr:col>
      <xdr:colOff>609600</xdr:colOff>
      <xdr:row>92</xdr:row>
      <xdr:rowOff>28575</xdr:rowOff>
    </xdr:to>
    <xdr:sp>
      <xdr:nvSpPr>
        <xdr:cNvPr id="9" name="Oval 29"/>
        <xdr:cNvSpPr>
          <a:spLocks/>
        </xdr:cNvSpPr>
      </xdr:nvSpPr>
      <xdr:spPr>
        <a:xfrm>
          <a:off x="10410825" y="14944725"/>
          <a:ext cx="1552575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79</xdr:row>
      <xdr:rowOff>123825</xdr:rowOff>
    </xdr:from>
    <xdr:to>
      <xdr:col>12</xdr:col>
      <xdr:colOff>552450</xdr:colOff>
      <xdr:row>81</xdr:row>
      <xdr:rowOff>38100</xdr:rowOff>
    </xdr:to>
    <xdr:sp>
      <xdr:nvSpPr>
        <xdr:cNvPr id="10" name="Oval 30"/>
        <xdr:cNvSpPr>
          <a:spLocks/>
        </xdr:cNvSpPr>
      </xdr:nvSpPr>
      <xdr:spPr>
        <a:xfrm>
          <a:off x="10353675" y="13173075"/>
          <a:ext cx="1552575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76</xdr:row>
      <xdr:rowOff>57150</xdr:rowOff>
    </xdr:from>
    <xdr:to>
      <xdr:col>12</xdr:col>
      <xdr:colOff>495300</xdr:colOff>
      <xdr:row>78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10296525" y="12496800"/>
          <a:ext cx="1552575" cy="400050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43</xdr:row>
      <xdr:rowOff>133350</xdr:rowOff>
    </xdr:from>
    <xdr:to>
      <xdr:col>12</xdr:col>
      <xdr:colOff>533400</xdr:colOff>
      <xdr:row>45</xdr:row>
      <xdr:rowOff>47625</xdr:rowOff>
    </xdr:to>
    <xdr:sp>
      <xdr:nvSpPr>
        <xdr:cNvPr id="12" name="Oval 32"/>
        <xdr:cNvSpPr>
          <a:spLocks/>
        </xdr:cNvSpPr>
      </xdr:nvSpPr>
      <xdr:spPr>
        <a:xfrm>
          <a:off x="10334625" y="7096125"/>
          <a:ext cx="1552575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142875</xdr:rowOff>
    </xdr:from>
    <xdr:to>
      <xdr:col>13</xdr:col>
      <xdr:colOff>38100</xdr:colOff>
      <xdr:row>23</xdr:row>
      <xdr:rowOff>57150</xdr:rowOff>
    </xdr:to>
    <xdr:sp>
      <xdr:nvSpPr>
        <xdr:cNvPr id="13" name="Oval 33"/>
        <xdr:cNvSpPr>
          <a:spLocks/>
        </xdr:cNvSpPr>
      </xdr:nvSpPr>
      <xdr:spPr>
        <a:xfrm>
          <a:off x="10496550" y="3543300"/>
          <a:ext cx="1981200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847725</xdr:colOff>
      <xdr:row>11</xdr:row>
      <xdr:rowOff>104775</xdr:rowOff>
    </xdr:from>
    <xdr:to>
      <xdr:col>12</xdr:col>
      <xdr:colOff>952500</xdr:colOff>
      <xdr:row>13</xdr:row>
      <xdr:rowOff>19050</xdr:rowOff>
    </xdr:to>
    <xdr:sp>
      <xdr:nvSpPr>
        <xdr:cNvPr id="14" name="Oval 35"/>
        <xdr:cNvSpPr>
          <a:spLocks/>
        </xdr:cNvSpPr>
      </xdr:nvSpPr>
      <xdr:spPr>
        <a:xfrm>
          <a:off x="10448925" y="1885950"/>
          <a:ext cx="1857375" cy="2381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abSelected="1" workbookViewId="0" topLeftCell="A1">
      <selection activeCell="G96" sqref="G96"/>
    </sheetView>
  </sheetViews>
  <sheetFormatPr defaultColWidth="9.140625" defaultRowHeight="12.75"/>
  <cols>
    <col min="1" max="3" width="9.140625" style="5" customWidth="1"/>
    <col min="4" max="4" width="41.00390625" style="5" customWidth="1"/>
    <col min="5" max="5" width="11.28125" style="6" customWidth="1"/>
    <col min="6" max="7" width="12.8515625" style="6" customWidth="1"/>
    <col min="8" max="9" width="12.8515625" style="6" bestFit="1" customWidth="1"/>
    <col min="10" max="11" width="12.8515625" style="6" customWidth="1"/>
    <col min="12" max="12" width="13.421875" style="0" bestFit="1" customWidth="1"/>
    <col min="13" max="13" width="16.28125" style="7" bestFit="1" customWidth="1"/>
  </cols>
  <sheetData>
    <row r="1" spans="1:13" s="4" customFormat="1" ht="12.75">
      <c r="A1" s="56" t="s">
        <v>0</v>
      </c>
      <c r="B1" s="57"/>
      <c r="C1" s="57"/>
      <c r="D1" s="57"/>
      <c r="E1" s="57"/>
      <c r="F1" s="57"/>
      <c r="G1" s="57"/>
      <c r="H1" s="57"/>
      <c r="I1" s="2"/>
      <c r="J1" s="2"/>
      <c r="K1" s="2"/>
      <c r="L1" s="3"/>
      <c r="M1" s="3"/>
    </row>
    <row r="2" spans="1:13" s="4" customFormat="1" ht="12.75">
      <c r="A2" s="56" t="s">
        <v>1</v>
      </c>
      <c r="B2" s="57"/>
      <c r="C2" s="57"/>
      <c r="D2" s="57"/>
      <c r="E2" s="57"/>
      <c r="F2" s="57"/>
      <c r="G2" s="57"/>
      <c r="H2" s="57"/>
      <c r="I2" s="2"/>
      <c r="J2" s="2"/>
      <c r="K2" s="2"/>
      <c r="M2" s="3"/>
    </row>
    <row r="3" ht="12.75"/>
    <row r="4" ht="12.75"/>
    <row r="5" spans="1:13" ht="12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10" t="s">
        <v>14</v>
      </c>
    </row>
    <row r="6" spans="2:13" ht="12.75">
      <c r="B6" s="1"/>
      <c r="D6" s="14"/>
      <c r="E6" s="11"/>
      <c r="F6" s="11"/>
      <c r="G6" s="12"/>
      <c r="H6" s="11"/>
      <c r="I6" s="11"/>
      <c r="J6" s="11"/>
      <c r="K6" s="11"/>
      <c r="L6" s="13"/>
      <c r="M6" s="10"/>
    </row>
    <row r="7" spans="2:13" ht="12.75">
      <c r="B7" s="1"/>
      <c r="D7" s="26"/>
      <c r="E7" s="27"/>
      <c r="F7" s="27"/>
      <c r="G7" s="26"/>
      <c r="H7" s="27"/>
      <c r="I7" s="27"/>
      <c r="J7" s="27"/>
      <c r="K7" s="27"/>
      <c r="L7" s="28"/>
      <c r="M7" s="29"/>
    </row>
    <row r="8" spans="2:13" ht="12.75">
      <c r="B8" s="1"/>
      <c r="D8" s="26"/>
      <c r="E8" s="27"/>
      <c r="F8" s="27"/>
      <c r="G8" s="26"/>
      <c r="H8" s="27"/>
      <c r="I8" s="27"/>
      <c r="J8" s="27"/>
      <c r="K8" s="27"/>
      <c r="L8" s="28"/>
      <c r="M8" s="29"/>
    </row>
    <row r="9" spans="1:13" ht="12.75">
      <c r="A9" s="1">
        <v>9449</v>
      </c>
      <c r="B9" s="1"/>
      <c r="D9" s="27" t="s">
        <v>23</v>
      </c>
      <c r="E9" s="27"/>
      <c r="F9" s="27"/>
      <c r="G9" s="26"/>
      <c r="H9" s="27"/>
      <c r="I9" s="27"/>
      <c r="J9" s="26"/>
      <c r="K9" s="26"/>
      <c r="L9" s="30"/>
      <c r="M9" s="29"/>
    </row>
    <row r="10" spans="2:13" ht="12.75">
      <c r="B10" s="5" t="s">
        <v>15</v>
      </c>
      <c r="D10" s="31" t="s">
        <v>16</v>
      </c>
      <c r="E10" s="27"/>
      <c r="F10" s="27"/>
      <c r="G10" s="26"/>
      <c r="H10" s="27"/>
      <c r="I10" s="27"/>
      <c r="J10" s="26"/>
      <c r="K10" s="26"/>
      <c r="L10" s="30"/>
      <c r="M10" s="29"/>
    </row>
    <row r="11" spans="2:13" ht="12.75">
      <c r="B11" s="1"/>
      <c r="C11" s="5" t="s">
        <v>17</v>
      </c>
      <c r="D11" s="31" t="s">
        <v>18</v>
      </c>
      <c r="E11" s="27"/>
      <c r="F11" s="27"/>
      <c r="G11" s="26"/>
      <c r="H11" s="27"/>
      <c r="I11" s="27"/>
      <c r="J11" s="26"/>
      <c r="K11" s="26"/>
      <c r="L11" s="30"/>
      <c r="M11" s="29"/>
    </row>
    <row r="12" spans="2:13" ht="12.75">
      <c r="B12" s="1" t="s">
        <v>24</v>
      </c>
      <c r="D12" s="26" t="s">
        <v>25</v>
      </c>
      <c r="E12" s="27"/>
      <c r="F12" s="27"/>
      <c r="G12" s="26"/>
      <c r="H12" s="27"/>
      <c r="I12" s="27"/>
      <c r="J12" s="26"/>
      <c r="K12" s="26"/>
      <c r="L12" s="30"/>
      <c r="M12" s="29"/>
    </row>
    <row r="13" spans="2:13" ht="12.75">
      <c r="B13" s="24"/>
      <c r="C13" s="16">
        <v>8202</v>
      </c>
      <c r="D13" s="32" t="s">
        <v>26</v>
      </c>
      <c r="E13" s="33"/>
      <c r="F13" s="33"/>
      <c r="G13" s="32"/>
      <c r="H13" s="33"/>
      <c r="I13" s="33"/>
      <c r="J13" s="32">
        <f>9415.08+2111.49+2111.5</f>
        <v>13638.07</v>
      </c>
      <c r="K13" s="32"/>
      <c r="L13" s="34">
        <f>+J13</f>
        <v>13638.07</v>
      </c>
      <c r="M13" s="33" t="s">
        <v>27</v>
      </c>
    </row>
    <row r="14" spans="2:13" ht="12.75">
      <c r="B14" s="1"/>
      <c r="D14" s="26"/>
      <c r="E14" s="27"/>
      <c r="F14" s="27"/>
      <c r="G14" s="26"/>
      <c r="H14" s="27"/>
      <c r="I14" s="27"/>
      <c r="J14" s="27"/>
      <c r="K14" s="27"/>
      <c r="L14" s="28"/>
      <c r="M14" s="29"/>
    </row>
    <row r="15" spans="2:13" ht="12.75">
      <c r="B15" s="1" t="s">
        <v>20</v>
      </c>
      <c r="D15" s="26">
        <f>+L13</f>
        <v>13638.07</v>
      </c>
      <c r="E15" s="27"/>
      <c r="F15" s="27"/>
      <c r="G15" s="26"/>
      <c r="H15" s="27"/>
      <c r="I15" s="27"/>
      <c r="J15" s="27"/>
      <c r="K15" s="27"/>
      <c r="L15" s="28"/>
      <c r="M15" s="29"/>
    </row>
    <row r="16" spans="2:13" ht="12.75">
      <c r="B16" s="1" t="s">
        <v>21</v>
      </c>
      <c r="D16" s="26">
        <v>0</v>
      </c>
      <c r="E16" s="27"/>
      <c r="F16" s="27"/>
      <c r="G16" s="26"/>
      <c r="H16" s="27"/>
      <c r="I16" s="27"/>
      <c r="J16" s="27"/>
      <c r="K16" s="27"/>
      <c r="L16" s="28"/>
      <c r="M16" s="35"/>
    </row>
    <row r="17" spans="2:13" ht="12.75">
      <c r="B17" s="1" t="s">
        <v>22</v>
      </c>
      <c r="D17" s="26">
        <f>+D15-D16</f>
        <v>13638.07</v>
      </c>
      <c r="E17" s="27"/>
      <c r="F17" s="27"/>
      <c r="G17" s="26"/>
      <c r="H17" s="27"/>
      <c r="I17" s="27"/>
      <c r="J17" s="27"/>
      <c r="K17" s="27"/>
      <c r="L17" s="28"/>
      <c r="M17" s="29"/>
    </row>
    <row r="18" spans="2:13" ht="12.75">
      <c r="B18" s="1" t="s">
        <v>28</v>
      </c>
      <c r="D18" s="26">
        <f>+J13</f>
        <v>13638.07</v>
      </c>
      <c r="E18" s="27"/>
      <c r="F18" s="27"/>
      <c r="G18" s="26"/>
      <c r="H18" s="27"/>
      <c r="I18" s="27"/>
      <c r="J18" s="27"/>
      <c r="K18" s="27"/>
      <c r="L18" s="28"/>
      <c r="M18" s="29"/>
    </row>
    <row r="19" spans="2:13" ht="12.75">
      <c r="B19" s="1"/>
      <c r="D19" s="26"/>
      <c r="E19" s="27"/>
      <c r="F19" s="27"/>
      <c r="G19" s="26"/>
      <c r="H19" s="27"/>
      <c r="I19" s="27"/>
      <c r="J19" s="27"/>
      <c r="K19" s="27"/>
      <c r="L19" s="28"/>
      <c r="M19" s="29"/>
    </row>
    <row r="20" spans="2:13" ht="12.75">
      <c r="B20" s="1"/>
      <c r="D20" s="26"/>
      <c r="E20" s="27"/>
      <c r="F20" s="27"/>
      <c r="G20" s="26"/>
      <c r="H20" s="27"/>
      <c r="I20" s="27"/>
      <c r="J20" s="27"/>
      <c r="K20" s="27"/>
      <c r="L20" s="28"/>
      <c r="M20" s="29"/>
    </row>
    <row r="21" spans="1:13" ht="12.75">
      <c r="A21" s="1">
        <v>9450</v>
      </c>
      <c r="D21" s="36" t="s">
        <v>29</v>
      </c>
      <c r="E21" s="37"/>
      <c r="F21" s="37"/>
      <c r="G21" s="37"/>
      <c r="H21" s="37"/>
      <c r="I21" s="37"/>
      <c r="J21" s="37"/>
      <c r="K21" s="37"/>
      <c r="L21" s="28"/>
      <c r="M21" s="35"/>
    </row>
    <row r="22" spans="2:13" ht="12.75">
      <c r="B22" s="5" t="s">
        <v>15</v>
      </c>
      <c r="D22" s="31" t="s">
        <v>16</v>
      </c>
      <c r="E22" s="37"/>
      <c r="F22" s="37"/>
      <c r="G22" s="37"/>
      <c r="H22" s="37"/>
      <c r="I22" s="37"/>
      <c r="J22" s="37"/>
      <c r="K22" s="37"/>
      <c r="L22" s="28"/>
      <c r="M22" s="35"/>
    </row>
    <row r="23" spans="3:13" ht="12.75">
      <c r="C23" s="16" t="s">
        <v>17</v>
      </c>
      <c r="D23" s="38" t="s">
        <v>18</v>
      </c>
      <c r="E23" s="39"/>
      <c r="F23" s="39">
        <v>14171.16</v>
      </c>
      <c r="G23" s="39">
        <v>89516.18</v>
      </c>
      <c r="H23" s="39">
        <f>920.4+10342.34+5504.4+3854.52+5943.39+7727.76+-19687.66+3608.25+4139.39+3079.68+29505.23+35268.23</f>
        <v>90205.93</v>
      </c>
      <c r="I23" s="39">
        <f>4650.62+860.7+4162.96+2676.13+3909.87+6373.09+5345.31+2795.86+3931.09+5429.66+4644.62+43406.66</f>
        <v>88186.57</v>
      </c>
      <c r="J23" s="39">
        <f>9140.89+5981.64+4373.86+4553.54+9543.2+9121.62+7638.2+8277.51+6243.12+5264.4+5875.91</f>
        <v>76013.89000000001</v>
      </c>
      <c r="K23" s="39"/>
      <c r="L23" s="40">
        <f aca="true" t="shared" si="0" ref="L23:L89">SUM(E23:J23)</f>
        <v>358093.73</v>
      </c>
      <c r="M23" s="35" t="s">
        <v>30</v>
      </c>
    </row>
    <row r="24" spans="3:13" ht="12.75">
      <c r="C24" s="5" t="s">
        <v>31</v>
      </c>
      <c r="D24" s="31" t="s">
        <v>32</v>
      </c>
      <c r="E24" s="37"/>
      <c r="F24" s="37"/>
      <c r="G24" s="37">
        <v>250.95</v>
      </c>
      <c r="H24" s="37">
        <f>0+996.97+0+0+0+0+0+0+0+-8.18+-988.79</f>
        <v>0</v>
      </c>
      <c r="I24" s="37">
        <f>0+0+0+1276.25+0+0-1276.25</f>
        <v>0</v>
      </c>
      <c r="J24" s="37">
        <f>2552.5-68.5</f>
        <v>2484</v>
      </c>
      <c r="K24" s="37">
        <v>-2484</v>
      </c>
      <c r="L24" s="28">
        <f>SUM(E24:K24)</f>
        <v>250.94999999999982</v>
      </c>
      <c r="M24" s="35"/>
    </row>
    <row r="25" spans="2:13" ht="12.75">
      <c r="B25" s="5" t="s">
        <v>33</v>
      </c>
      <c r="D25" s="31" t="s">
        <v>34</v>
      </c>
      <c r="E25" s="37"/>
      <c r="F25" s="37"/>
      <c r="G25" s="37"/>
      <c r="H25" s="37"/>
      <c r="I25" s="37"/>
      <c r="J25" s="37"/>
      <c r="K25" s="37"/>
      <c r="L25" s="28">
        <f t="shared" si="0"/>
        <v>0</v>
      </c>
      <c r="M25" s="35" t="s">
        <v>35</v>
      </c>
    </row>
    <row r="26" spans="3:13" ht="12.75">
      <c r="C26" s="5" t="s">
        <v>17</v>
      </c>
      <c r="D26" s="31" t="s">
        <v>18</v>
      </c>
      <c r="E26" s="37"/>
      <c r="F26" s="37">
        <v>12.28</v>
      </c>
      <c r="G26" s="37"/>
      <c r="H26" s="37"/>
      <c r="I26" s="37"/>
      <c r="J26" s="37"/>
      <c r="K26" s="37"/>
      <c r="L26" s="28">
        <f t="shared" si="0"/>
        <v>12.28</v>
      </c>
      <c r="M26" s="35"/>
    </row>
    <row r="27" spans="3:13" ht="12.75">
      <c r="C27" s="5">
        <v>1201</v>
      </c>
      <c r="D27" s="31" t="s">
        <v>36</v>
      </c>
      <c r="E27" s="37">
        <v>105366.11</v>
      </c>
      <c r="F27" s="37"/>
      <c r="G27" s="37"/>
      <c r="H27" s="37"/>
      <c r="I27" s="37"/>
      <c r="J27" s="37"/>
      <c r="K27" s="37"/>
      <c r="L27" s="28">
        <f t="shared" si="0"/>
        <v>105366.11</v>
      </c>
      <c r="M27" s="35"/>
    </row>
    <row r="28" spans="3:13" ht="12.75">
      <c r="C28" s="5">
        <v>1202</v>
      </c>
      <c r="D28" s="31" t="s">
        <v>37</v>
      </c>
      <c r="E28" s="37">
        <v>758529.85</v>
      </c>
      <c r="F28" s="37">
        <v>986728.72</v>
      </c>
      <c r="G28" s="37"/>
      <c r="H28" s="37"/>
      <c r="I28" s="37"/>
      <c r="J28" s="37"/>
      <c r="K28" s="37"/>
      <c r="L28" s="28">
        <f t="shared" si="0"/>
        <v>1745258.5699999998</v>
      </c>
      <c r="M28" s="35"/>
    </row>
    <row r="29" spans="3:13" ht="12.75">
      <c r="C29" s="5">
        <v>1203</v>
      </c>
      <c r="D29" s="31" t="s">
        <v>38</v>
      </c>
      <c r="E29" s="37"/>
      <c r="F29" s="37">
        <v>163798.59</v>
      </c>
      <c r="G29" s="37">
        <v>76952.85</v>
      </c>
      <c r="H29" s="37">
        <f>0+5669.39+6867.57+17852.16+4657.1+2792.71+3104.72+4657.11+0+0+-1104.19+904.5</f>
        <v>45401.07</v>
      </c>
      <c r="I29" s="37"/>
      <c r="J29" s="37"/>
      <c r="K29" s="37"/>
      <c r="L29" s="28">
        <f t="shared" si="0"/>
        <v>286152.51</v>
      </c>
      <c r="M29" s="35"/>
    </row>
    <row r="30" spans="3:13" ht="12.75">
      <c r="C30" s="5">
        <v>1204</v>
      </c>
      <c r="D30" s="31" t="s">
        <v>39</v>
      </c>
      <c r="E30" s="37"/>
      <c r="F30" s="37"/>
      <c r="G30" s="37">
        <v>459.33</v>
      </c>
      <c r="H30" s="37">
        <f>3836.68+7528.43+10960.36+30539.81+35494.56+6579.6+48416.55+82416.33+15587.62+-710.4+-2497.95+-5487.42</f>
        <v>232664.16999999998</v>
      </c>
      <c r="I30" s="37">
        <f>71884.36+54587.16+4086.35+1174.83+34137.32+42167.08+16931.2+16020.91+1326.07+4287.45+16800.87+95522.73</f>
        <v>358926.3300000001</v>
      </c>
      <c r="J30" s="37">
        <f>14453.12+9195.07+8426.88+43712.41+58032.86+10320.47+8579.34+13750.25+3873.79</f>
        <v>170344.19000000003</v>
      </c>
      <c r="K30" s="37"/>
      <c r="L30" s="28">
        <f t="shared" si="0"/>
        <v>762394.0200000001</v>
      </c>
      <c r="M30" s="35"/>
    </row>
    <row r="31" spans="3:13" ht="12.75">
      <c r="C31" s="5">
        <v>1206</v>
      </c>
      <c r="D31" s="31" t="s">
        <v>40</v>
      </c>
      <c r="E31" s="37"/>
      <c r="F31" s="37"/>
      <c r="G31" s="37">
        <v>15954.66</v>
      </c>
      <c r="H31" s="37"/>
      <c r="I31" s="37"/>
      <c r="J31" s="37"/>
      <c r="K31" s="37"/>
      <c r="L31" s="28">
        <f t="shared" si="0"/>
        <v>15954.66</v>
      </c>
      <c r="M31" s="35"/>
    </row>
    <row r="32" spans="3:13" ht="12.75">
      <c r="C32" s="5">
        <v>1250</v>
      </c>
      <c r="D32" s="31" t="s">
        <v>41</v>
      </c>
      <c r="E32" s="37"/>
      <c r="F32" s="37"/>
      <c r="G32" s="37">
        <v>2890537.79</v>
      </c>
      <c r="H32" s="37">
        <f>527999.96+237581.28+119100.62+258475.76+164906.58+25544.91+149125.65+444547.51+249603.66+75010.01+350427.32+93168.51</f>
        <v>2695491.7699999996</v>
      </c>
      <c r="I32" s="37">
        <f>5520.69+295.26+0+0+0+-28570.29+2896.15-161880.02-92703.53+2667.15</f>
        <v>-271774.58999999997</v>
      </c>
      <c r="J32" s="37"/>
      <c r="K32" s="37"/>
      <c r="L32" s="28">
        <f t="shared" si="0"/>
        <v>5314254.97</v>
      </c>
      <c r="M32" s="35"/>
    </row>
    <row r="33" spans="1:12" s="47" customFormat="1" ht="12.75">
      <c r="A33" s="25"/>
      <c r="B33" s="25"/>
      <c r="C33" s="51">
        <v>1260</v>
      </c>
      <c r="D33" s="52" t="s">
        <v>147</v>
      </c>
      <c r="E33" s="45"/>
      <c r="F33" s="45"/>
      <c r="G33" s="45"/>
      <c r="H33" s="45"/>
      <c r="I33" s="45"/>
      <c r="J33" s="45"/>
      <c r="K33" s="45"/>
      <c r="L33" s="28">
        <f t="shared" si="0"/>
        <v>0</v>
      </c>
    </row>
    <row r="34" spans="3:13" ht="12.75">
      <c r="C34" s="5">
        <v>1301</v>
      </c>
      <c r="D34" s="31" t="s">
        <v>42</v>
      </c>
      <c r="E34" s="37">
        <v>91661.59</v>
      </c>
      <c r="F34" s="37">
        <v>336472.36</v>
      </c>
      <c r="G34" s="37">
        <v>513906.48</v>
      </c>
      <c r="H34" s="37">
        <f>3135.05+3850.58+13971.28+1552.38+0+4993.83+3104.71+0+0+-741.14+-1617.74</f>
        <v>28248.95</v>
      </c>
      <c r="I34" s="37"/>
      <c r="J34" s="37"/>
      <c r="K34" s="37"/>
      <c r="L34" s="28">
        <f t="shared" si="0"/>
        <v>970289.3799999999</v>
      </c>
      <c r="M34" s="35"/>
    </row>
    <row r="35" spans="3:13" ht="12.75">
      <c r="C35" s="5">
        <v>1302</v>
      </c>
      <c r="D35" s="31" t="s">
        <v>43</v>
      </c>
      <c r="E35" s="37"/>
      <c r="F35" s="37"/>
      <c r="G35" s="37"/>
      <c r="H35" s="37">
        <f>0+0+0+0+0+2328.55+18628.34+0+0+0+-507.45+-1110.56</f>
        <v>19338.879999999997</v>
      </c>
      <c r="I35" s="37">
        <f>4621.94+1540.64+1405.31+6578.71+31248.4</f>
        <v>45395</v>
      </c>
      <c r="J35" s="37">
        <f>3217.53+7747.59+14098.05+7586.06+29881.49-874.17+2904.55</f>
        <v>64561.100000000006</v>
      </c>
      <c r="K35" s="37"/>
      <c r="L35" s="28">
        <f t="shared" si="0"/>
        <v>129294.98000000001</v>
      </c>
      <c r="M35" s="35"/>
    </row>
    <row r="36" spans="3:13" ht="12.75">
      <c r="C36" s="5">
        <v>1303</v>
      </c>
      <c r="D36" s="31" t="s">
        <v>44</v>
      </c>
      <c r="E36" s="37"/>
      <c r="F36" s="37"/>
      <c r="G36" s="37"/>
      <c r="H36" s="37">
        <f>0+0+0+7761.82+25613.98+48123.25+17464.08+3104.73+3880.91+1552.38+16331.65+9032.48</f>
        <v>132865.28</v>
      </c>
      <c r="I36" s="37">
        <f>3188.71+1510.79+17231.44+0+0+0-361.9-434.28-647.78</f>
        <v>20486.98</v>
      </c>
      <c r="J36" s="37"/>
      <c r="K36" s="37"/>
      <c r="L36" s="28">
        <f t="shared" si="0"/>
        <v>153352.26</v>
      </c>
      <c r="M36" s="35"/>
    </row>
    <row r="37" spans="3:13" ht="12.75">
      <c r="C37" s="5">
        <v>1350</v>
      </c>
      <c r="D37" s="31" t="s">
        <v>45</v>
      </c>
      <c r="E37" s="37"/>
      <c r="F37" s="37"/>
      <c r="G37" s="37">
        <v>394072.38</v>
      </c>
      <c r="H37" s="37">
        <f>48788.14+46520.02+36508.14+11570.47+7985.35+0+3349.13+0+0+0+-1756.27+-11157.62</f>
        <v>141807.36000000002</v>
      </c>
      <c r="I37" s="37"/>
      <c r="J37" s="37"/>
      <c r="K37" s="37"/>
      <c r="L37" s="28">
        <f t="shared" si="0"/>
        <v>535879.74</v>
      </c>
      <c r="M37" s="35"/>
    </row>
    <row r="38" spans="3:13" ht="12.75">
      <c r="C38" s="5">
        <v>1351</v>
      </c>
      <c r="D38" s="31" t="s">
        <v>46</v>
      </c>
      <c r="E38" s="37"/>
      <c r="F38" s="37"/>
      <c r="G38" s="37">
        <v>179101.64</v>
      </c>
      <c r="H38" s="37">
        <f>17749.88+17804.73+7095.38+67314.51+107786.65+27148.78+8347.9+9467.9+10021.5+6782.06+2938.95+-9542.28</f>
        <v>272915.95999999996</v>
      </c>
      <c r="I38" s="37">
        <f>797.18+89.93+10383.71+-5.66+12121.18+7556.7-356.26-427.52-102.15</f>
        <v>30057.11</v>
      </c>
      <c r="J38" s="37"/>
      <c r="K38" s="37"/>
      <c r="L38" s="28">
        <f t="shared" si="0"/>
        <v>482074.70999999996</v>
      </c>
      <c r="M38" s="35"/>
    </row>
    <row r="39" spans="3:13" ht="12.75">
      <c r="C39" s="5">
        <v>1352</v>
      </c>
      <c r="D39" s="31" t="s">
        <v>47</v>
      </c>
      <c r="E39" s="37"/>
      <c r="F39" s="37"/>
      <c r="G39" s="37"/>
      <c r="H39" s="37"/>
      <c r="I39" s="37"/>
      <c r="J39" s="37">
        <f>7832.25+12531.57+7233.73+38451.82+13735.19+137.89+97556.9</f>
        <v>177479.34999999998</v>
      </c>
      <c r="K39" s="37"/>
      <c r="L39" s="28">
        <f t="shared" si="0"/>
        <v>177479.34999999998</v>
      </c>
      <c r="M39" s="35"/>
    </row>
    <row r="40" spans="3:13" ht="12.75">
      <c r="C40" s="5">
        <v>1354</v>
      </c>
      <c r="D40" s="31" t="s">
        <v>48</v>
      </c>
      <c r="E40" s="37"/>
      <c r="F40" s="37"/>
      <c r="G40" s="37"/>
      <c r="H40" s="37"/>
      <c r="I40" s="37"/>
      <c r="J40" s="37">
        <f>9652.71+8422.74+9320.57+21852.88+26474.1+43254.13+42525.89+39941.23+21484.49+433.68</f>
        <v>223362.42</v>
      </c>
      <c r="K40" s="37"/>
      <c r="L40" s="28">
        <f t="shared" si="0"/>
        <v>223362.42</v>
      </c>
      <c r="M40" s="35"/>
    </row>
    <row r="41" spans="1:12" s="47" customFormat="1" ht="12.75">
      <c r="A41" s="25"/>
      <c r="B41" s="25"/>
      <c r="C41" s="51">
        <v>1355</v>
      </c>
      <c r="D41" s="52" t="s">
        <v>148</v>
      </c>
      <c r="E41" s="45"/>
      <c r="F41" s="45"/>
      <c r="G41" s="45"/>
      <c r="H41" s="45"/>
      <c r="I41" s="45"/>
      <c r="J41" s="45"/>
      <c r="K41" s="45"/>
      <c r="L41" s="46">
        <f t="shared" si="0"/>
        <v>0</v>
      </c>
    </row>
    <row r="42" spans="3:13" ht="12.75">
      <c r="C42" s="5">
        <v>1361</v>
      </c>
      <c r="D42" s="31" t="s">
        <v>49</v>
      </c>
      <c r="E42" s="37"/>
      <c r="F42" s="37"/>
      <c r="G42" s="37"/>
      <c r="H42" s="37">
        <f>0+6209.45+12418.89+22871.17+26691.32+12418.9+12418.89+31659.83+80757.35+69000.78+315295.81+23076.09</f>
        <v>612818.4799999999</v>
      </c>
      <c r="I42" s="37">
        <f>44535.59+183629.09+71706.2+54335.77+23465.09+52669.92+30442.08-5659.47+40394.97+52047.5+96543.91+86075.85</f>
        <v>730186.5000000001</v>
      </c>
      <c r="J42" s="37">
        <f>69220.74+44653.82+49800.35+36551.86+89369.72+69866.51+64893.77+95854.37+41167.13+44626.33+56979.98</f>
        <v>662984.58</v>
      </c>
      <c r="K42" s="37"/>
      <c r="L42" s="28">
        <f t="shared" si="0"/>
        <v>2005989.56</v>
      </c>
      <c r="M42" s="35"/>
    </row>
    <row r="43" spans="3:13" ht="12.75">
      <c r="C43" s="5">
        <v>1401</v>
      </c>
      <c r="D43" s="31" t="s">
        <v>50</v>
      </c>
      <c r="E43" s="37"/>
      <c r="F43" s="37">
        <v>1322.66</v>
      </c>
      <c r="G43" s="37"/>
      <c r="H43" s="37"/>
      <c r="I43" s="37"/>
      <c r="J43" s="37"/>
      <c r="K43" s="37"/>
      <c r="L43" s="28">
        <f t="shared" si="0"/>
        <v>1322.66</v>
      </c>
      <c r="M43" s="35"/>
    </row>
    <row r="44" spans="3:13" ht="12.75">
      <c r="C44" s="5">
        <v>1402</v>
      </c>
      <c r="D44" s="31" t="s">
        <v>51</v>
      </c>
      <c r="E44" s="37">
        <v>154916.77</v>
      </c>
      <c r="F44" s="37">
        <v>22134.02</v>
      </c>
      <c r="G44" s="37"/>
      <c r="H44" s="37"/>
      <c r="I44" s="37"/>
      <c r="J44" s="37"/>
      <c r="K44" s="37"/>
      <c r="L44" s="28">
        <f t="shared" si="0"/>
        <v>177050.78999999998</v>
      </c>
      <c r="M44" s="35"/>
    </row>
    <row r="45" spans="3:13" ht="12.75">
      <c r="C45" s="16">
        <v>1403</v>
      </c>
      <c r="D45" s="38" t="s">
        <v>52</v>
      </c>
      <c r="E45" s="39"/>
      <c r="F45" s="39">
        <v>393653.53</v>
      </c>
      <c r="G45" s="39">
        <v>270684.25</v>
      </c>
      <c r="H45" s="39">
        <f>2354.55+27950.02+3880.93+7761.83+3104.72+0+0+0+0+0+-1090.79+-3401.81</f>
        <v>40559.450000000004</v>
      </c>
      <c r="I45" s="39"/>
      <c r="J45" s="39"/>
      <c r="K45" s="39"/>
      <c r="L45" s="40">
        <f t="shared" si="0"/>
        <v>704897.23</v>
      </c>
      <c r="M45" s="35" t="s">
        <v>30</v>
      </c>
    </row>
    <row r="46" spans="3:13" ht="12.75">
      <c r="C46" s="5">
        <v>1404</v>
      </c>
      <c r="D46" s="31" t="s">
        <v>53</v>
      </c>
      <c r="E46" s="37">
        <v>464052.52</v>
      </c>
      <c r="F46" s="37">
        <v>1363743.11</v>
      </c>
      <c r="G46" s="37">
        <v>411021.28</v>
      </c>
      <c r="H46" s="37">
        <f>0+0+0+0+0+0+0+0+0+0+0+-966.24</f>
        <v>-966.24</v>
      </c>
      <c r="I46" s="37">
        <f>11448.14+-11.2+0+0+0+0-35938.38+835.82-156.58</f>
        <v>-23822.2</v>
      </c>
      <c r="J46" s="37"/>
      <c r="K46" s="37"/>
      <c r="L46" s="28">
        <f t="shared" si="0"/>
        <v>2214028.4699999997</v>
      </c>
      <c r="M46" s="35"/>
    </row>
    <row r="47" spans="3:13" ht="12.75">
      <c r="C47" s="5">
        <v>1405</v>
      </c>
      <c r="D47" s="31" t="s">
        <v>54</v>
      </c>
      <c r="E47" s="37">
        <v>168064.18</v>
      </c>
      <c r="F47" s="37"/>
      <c r="G47" s="37"/>
      <c r="H47" s="37"/>
      <c r="I47" s="37"/>
      <c r="J47" s="37"/>
      <c r="K47" s="37"/>
      <c r="L47" s="28">
        <f t="shared" si="0"/>
        <v>168064.18</v>
      </c>
      <c r="M47" s="35"/>
    </row>
    <row r="48" spans="3:13" ht="12.75">
      <c r="C48" s="5">
        <v>1406</v>
      </c>
      <c r="D48" s="31" t="s">
        <v>55</v>
      </c>
      <c r="E48" s="37">
        <v>831115.18</v>
      </c>
      <c r="F48" s="37">
        <v>1292332.71</v>
      </c>
      <c r="G48" s="37">
        <v>123613.47</v>
      </c>
      <c r="H48" s="37">
        <f>0+0+0+0+16636.57+0+0+0+0+0+-402.85+-651.48</f>
        <v>15582.24</v>
      </c>
      <c r="I48" s="37">
        <f>637.66+-11.14+0+0+0+0-10.34-12.4+3.22</f>
        <v>607</v>
      </c>
      <c r="J48" s="37"/>
      <c r="K48" s="37"/>
      <c r="L48" s="28">
        <f t="shared" si="0"/>
        <v>2263250.6000000006</v>
      </c>
      <c r="M48" s="35"/>
    </row>
    <row r="49" spans="3:13" ht="12.75">
      <c r="C49" s="5">
        <v>1407</v>
      </c>
      <c r="D49" s="31" t="s">
        <v>56</v>
      </c>
      <c r="E49" s="37">
        <v>267545.14</v>
      </c>
      <c r="F49" s="37">
        <v>2278305.11</v>
      </c>
      <c r="G49" s="37">
        <v>98215.16</v>
      </c>
      <c r="H49" s="37">
        <f>0+0+0+0+25512.21+0+0+0+0+0+-617.76+-973.88</f>
        <v>23920.57</v>
      </c>
      <c r="I49" s="37"/>
      <c r="J49" s="37"/>
      <c r="K49" s="37"/>
      <c r="L49" s="28">
        <f t="shared" si="0"/>
        <v>2667985.98</v>
      </c>
      <c r="M49" s="35"/>
    </row>
    <row r="50" spans="3:13" ht="12.75">
      <c r="C50" s="5">
        <v>1408</v>
      </c>
      <c r="D50" s="31" t="s">
        <v>57</v>
      </c>
      <c r="E50" s="37">
        <v>29788.83</v>
      </c>
      <c r="F50" s="37">
        <v>25826.15</v>
      </c>
      <c r="G50" s="37">
        <v>523292.18</v>
      </c>
      <c r="H50" s="37">
        <f>26140.57+18753.09+96259.46+164039.65+117881.27+124329.77+135434.81+71966.64+75117.25+104770.29+139272.41+103234.81</f>
        <v>1177200.0200000003</v>
      </c>
      <c r="I50" s="37">
        <f>62527.82+138529.74+174256.18+72875.36+75900.5+43899.57+29035.08+23867.87+11697.63+28304.48+21389.41+8337.19</f>
        <v>690620.8299999998</v>
      </c>
      <c r="J50" s="37">
        <f>8641.52+11699.64+13077.83+14706.9+55431.31+9359.41+21942.15+77685.55+667.29+6722.6+2093.12</f>
        <v>222027.32</v>
      </c>
      <c r="K50" s="37"/>
      <c r="L50" s="28">
        <f t="shared" si="0"/>
        <v>2668755.3299999996</v>
      </c>
      <c r="M50" s="35"/>
    </row>
    <row r="51" spans="3:13" ht="12.75">
      <c r="C51" s="5">
        <v>1409</v>
      </c>
      <c r="D51" s="31" t="s">
        <v>58</v>
      </c>
      <c r="E51" s="37"/>
      <c r="F51" s="37">
        <v>343290.09</v>
      </c>
      <c r="G51" s="37">
        <v>572422.81</v>
      </c>
      <c r="H51" s="37">
        <f>21603.36+-75859.89+0+0+0+0+0+-35283.03+0+2168.11+4228.62</f>
        <v>-83142.83</v>
      </c>
      <c r="I51" s="37"/>
      <c r="J51" s="37"/>
      <c r="K51" s="37"/>
      <c r="L51" s="28">
        <f t="shared" si="0"/>
        <v>832570.0700000002</v>
      </c>
      <c r="M51" s="35"/>
    </row>
    <row r="52" spans="3:13" ht="12.75">
      <c r="C52" s="5">
        <v>1410</v>
      </c>
      <c r="D52" s="31" t="s">
        <v>59</v>
      </c>
      <c r="E52" s="37"/>
      <c r="F52" s="37">
        <v>6152.45</v>
      </c>
      <c r="G52" s="37">
        <v>1044108.95</v>
      </c>
      <c r="H52" s="37">
        <f>0+-1344+0+-384+1382.89+971.91+1024.55+0+-1024.55+0+-42.85+-1288.42</f>
        <v>-704.4700000000001</v>
      </c>
      <c r="I52" s="37"/>
      <c r="J52" s="37"/>
      <c r="K52" s="37"/>
      <c r="L52" s="28">
        <f t="shared" si="0"/>
        <v>1049556.93</v>
      </c>
      <c r="M52" s="35"/>
    </row>
    <row r="53" spans="3:13" ht="12.75">
      <c r="C53" s="5">
        <v>1411</v>
      </c>
      <c r="D53" s="31" t="s">
        <v>60</v>
      </c>
      <c r="E53" s="37"/>
      <c r="F53" s="37"/>
      <c r="G53" s="37">
        <v>4008949.23</v>
      </c>
      <c r="H53" s="37">
        <f>282686.02+63819.99+415092.13+256672.89+433703.72+375170.23+489308.91+462227.89+281624.26+504083.37+129244.5+245602.5</f>
        <v>3939236.41</v>
      </c>
      <c r="I53" s="37">
        <f>261422.24+561632.87+125727.98+198219.08+211930.8+332441.14+162788+7494.98+2063.5-93670.4+403.37</f>
        <v>1770453.56</v>
      </c>
      <c r="J53" s="37"/>
      <c r="K53" s="37"/>
      <c r="L53" s="28">
        <f t="shared" si="0"/>
        <v>9718639.200000001</v>
      </c>
      <c r="M53" s="35"/>
    </row>
    <row r="54" spans="3:13" ht="12.75">
      <c r="C54" s="5">
        <v>1412</v>
      </c>
      <c r="D54" s="31" t="s">
        <v>61</v>
      </c>
      <c r="E54" s="37"/>
      <c r="F54" s="37"/>
      <c r="G54" s="37">
        <v>439390.63</v>
      </c>
      <c r="H54" s="37">
        <f>-616.01+113.27+0+-1485.41+5370.98+0+1280+0+0+0+-114.52+-1420.73</f>
        <v>3127.5799999999995</v>
      </c>
      <c r="I54" s="37">
        <f>3119.78+2339.39-76.86</f>
        <v>5382.31</v>
      </c>
      <c r="J54" s="37">
        <v>2050.76</v>
      </c>
      <c r="K54" s="37"/>
      <c r="L54" s="28">
        <f t="shared" si="0"/>
        <v>449951.28</v>
      </c>
      <c r="M54" s="35"/>
    </row>
    <row r="55" spans="3:13" ht="12.75">
      <c r="C55" s="5">
        <v>1413</v>
      </c>
      <c r="D55" s="31" t="s">
        <v>62</v>
      </c>
      <c r="E55" s="37"/>
      <c r="F55" s="37"/>
      <c r="G55" s="37">
        <v>27819.24</v>
      </c>
      <c r="H55" s="37"/>
      <c r="I55" s="37"/>
      <c r="J55" s="37"/>
      <c r="K55" s="37"/>
      <c r="L55" s="28">
        <f t="shared" si="0"/>
        <v>27819.24</v>
      </c>
      <c r="M55" s="35"/>
    </row>
    <row r="56" spans="3:13" ht="12.75">
      <c r="C56" s="5">
        <v>1414</v>
      </c>
      <c r="D56" s="31" t="s">
        <v>63</v>
      </c>
      <c r="E56" s="37"/>
      <c r="F56" s="37"/>
      <c r="G56" s="37">
        <v>134098.35</v>
      </c>
      <c r="H56" s="37">
        <f>18198.57+81598.14+13080.08+13551.09+49789.36+35523.94+54015.67+92892.3+174960.93+8425.84+-12533.13+-24926.76</f>
        <v>504576.0299999999</v>
      </c>
      <c r="I56" s="37"/>
      <c r="J56" s="37"/>
      <c r="K56" s="37"/>
      <c r="L56" s="28">
        <f t="shared" si="0"/>
        <v>638674.3799999999</v>
      </c>
      <c r="M56" s="35"/>
    </row>
    <row r="57" spans="3:13" ht="12.75">
      <c r="C57" s="5">
        <v>1415</v>
      </c>
      <c r="D57" s="31" t="s">
        <v>64</v>
      </c>
      <c r="E57" s="37"/>
      <c r="F57" s="37"/>
      <c r="G57" s="37">
        <v>24038.93</v>
      </c>
      <c r="H57" s="37"/>
      <c r="I57" s="37"/>
      <c r="J57" s="37"/>
      <c r="K57" s="37"/>
      <c r="L57" s="28">
        <f t="shared" si="0"/>
        <v>24038.93</v>
      </c>
      <c r="M57" s="35"/>
    </row>
    <row r="58" spans="3:13" ht="12.75">
      <c r="C58" s="5">
        <v>1416</v>
      </c>
      <c r="D58" s="31" t="s">
        <v>65</v>
      </c>
      <c r="E58" s="37"/>
      <c r="F58" s="37"/>
      <c r="G58" s="37"/>
      <c r="H58" s="37">
        <f>14107.75+7625.35+11829+4657.1+0+0+0+0+0+0+-925.44+-2025.36</f>
        <v>35268.399999999994</v>
      </c>
      <c r="I58" s="37">
        <f>0+0+4017.71+844.74+0+0-295.12-80.75-7.45</f>
        <v>4479.13</v>
      </c>
      <c r="J58" s="37"/>
      <c r="K58" s="37"/>
      <c r="L58" s="28">
        <f t="shared" si="0"/>
        <v>39747.52999999999</v>
      </c>
      <c r="M58" s="35"/>
    </row>
    <row r="59" spans="3:13" ht="12.75">
      <c r="C59" s="5">
        <v>1419</v>
      </c>
      <c r="D59" s="31" t="s">
        <v>66</v>
      </c>
      <c r="E59" s="37"/>
      <c r="F59" s="37"/>
      <c r="G59" s="37">
        <v>48434.31</v>
      </c>
      <c r="H59" s="37">
        <f>0+0+1822.12+4150.36+0+809.83+1012.27+0+-7794.58+0+0+0</f>
        <v>0</v>
      </c>
      <c r="I59" s="37"/>
      <c r="J59" s="37"/>
      <c r="K59" s="37"/>
      <c r="L59" s="28">
        <f t="shared" si="0"/>
        <v>48434.31</v>
      </c>
      <c r="M59" s="35"/>
    </row>
    <row r="60" spans="3:13" ht="12.75">
      <c r="C60" s="5">
        <v>1421</v>
      </c>
      <c r="D60" s="31" t="s">
        <v>67</v>
      </c>
      <c r="E60" s="37"/>
      <c r="F60" s="37"/>
      <c r="G60" s="37"/>
      <c r="H60" s="37"/>
      <c r="I60" s="37">
        <f>0+274.8+7909.23+23140.81+12664.02+2702.03+15989.82+13575.93+12587.44+41828.24+114504.65+25030.13</f>
        <v>270207.1</v>
      </c>
      <c r="J60" s="37">
        <f>37615.91+50671.99+68880.6+34963.72+87218.16+43203.5+46919.11+2303.7-26626.71</f>
        <v>345149.98</v>
      </c>
      <c r="K60" s="37"/>
      <c r="L60" s="28">
        <f t="shared" si="0"/>
        <v>615357.08</v>
      </c>
      <c r="M60" s="35"/>
    </row>
    <row r="61" spans="3:13" ht="12.75">
      <c r="C61" s="5">
        <v>1429</v>
      </c>
      <c r="D61" s="31" t="s">
        <v>68</v>
      </c>
      <c r="E61" s="37"/>
      <c r="F61" s="37"/>
      <c r="G61" s="37"/>
      <c r="H61" s="37"/>
      <c r="I61" s="37">
        <f>0+0+40913.82+25040.91+28217.41+42171.77+21646.25+29972.52+17186.28+17784.45+12911.66+5155.15</f>
        <v>241000.22</v>
      </c>
      <c r="J61" s="37">
        <f>441.37+671.74+446.18+273.37+11793.85+7760.41+533.28+1856.25+1150.61</f>
        <v>24927.059999999998</v>
      </c>
      <c r="K61" s="37"/>
      <c r="L61" s="28">
        <f t="shared" si="0"/>
        <v>265927.28</v>
      </c>
      <c r="M61" s="35"/>
    </row>
    <row r="62" spans="3:13" ht="12.75">
      <c r="C62" s="5">
        <v>1431</v>
      </c>
      <c r="D62" s="31" t="s">
        <v>69</v>
      </c>
      <c r="E62" s="37"/>
      <c r="F62" s="37"/>
      <c r="G62" s="37"/>
      <c r="H62" s="37"/>
      <c r="I62" s="37">
        <f>144280.06+47042.83-6.63+96358.75</f>
        <v>287675.01</v>
      </c>
      <c r="J62" s="37">
        <f>16395.83+66906.34+55497.22+44636.78+112618.25+19910.47+20300.73+2088.55+92098.27</f>
        <v>430452.44</v>
      </c>
      <c r="K62" s="37"/>
      <c r="L62" s="28">
        <f t="shared" si="0"/>
        <v>718127.45</v>
      </c>
      <c r="M62" s="35"/>
    </row>
    <row r="63" spans="3:13" ht="12.75">
      <c r="C63" s="5">
        <v>1451</v>
      </c>
      <c r="D63" s="31" t="s">
        <v>70</v>
      </c>
      <c r="E63" s="37"/>
      <c r="F63" s="37"/>
      <c r="G63" s="37">
        <v>137831.39</v>
      </c>
      <c r="H63" s="37">
        <f>144303.42+198499.28+243960.16+134199.66+228506.9+293152.52+354302.99+242501.96+238142.99+233174.33+247325.29+390163.78</f>
        <v>2948233.2800000003</v>
      </c>
      <c r="I63" s="37">
        <f>276216.61+368159.21+327531.72+286071.89+350211.76+502920.82+316865.46+283389.95+215490.77+105810.3+234604.31+187089.28</f>
        <v>3454362.08</v>
      </c>
      <c r="J63" s="37">
        <f>154595.23+186649.99+159697.87+98364.42+262824.55+144159.3+138755.77+155525.88+99732.59+78583.81+108844.74</f>
        <v>1587734.1500000004</v>
      </c>
      <c r="K63" s="37"/>
      <c r="L63" s="28">
        <f t="shared" si="0"/>
        <v>8128160.9</v>
      </c>
      <c r="M63" s="35"/>
    </row>
    <row r="64" spans="3:13" ht="12.75">
      <c r="C64" s="5">
        <v>1459</v>
      </c>
      <c r="D64" s="31" t="s">
        <v>71</v>
      </c>
      <c r="E64" s="37"/>
      <c r="F64" s="37"/>
      <c r="G64" s="37"/>
      <c r="H64" s="37">
        <f>4920.5+2043.66+5208.15+444.74+30315.14+29164.13+48388.09+26241.72+11903.8+26767.22+49841.87+41006.8</f>
        <v>276245.82</v>
      </c>
      <c r="I64" s="37">
        <f>16724.11+28414.92+20773.09+8570.88+23832.85+44380.35+50173.91+42204.41+55278.48+47220.98+64806.74+75759.11</f>
        <v>478139.82999999996</v>
      </c>
      <c r="J64" s="37">
        <f>49777.34+30823.16+22752.36+34840.18+41116.4+23521.86+27239.04+21147.67+16873.12+13451.24+24643.93</f>
        <v>306186.3</v>
      </c>
      <c r="K64" s="37"/>
      <c r="L64" s="28">
        <f t="shared" si="0"/>
        <v>1060571.95</v>
      </c>
      <c r="M64" s="35"/>
    </row>
    <row r="65" spans="3:13" ht="12.75">
      <c r="C65" s="5">
        <v>1460</v>
      </c>
      <c r="D65" s="31" t="s">
        <v>72</v>
      </c>
      <c r="E65" s="37"/>
      <c r="F65" s="37"/>
      <c r="G65" s="37"/>
      <c r="H65" s="37"/>
      <c r="I65" s="37">
        <f>17834.56+19255.07+13863.39+6281.07+103.37+0-806.11-967.32-297.94</f>
        <v>55266.090000000004</v>
      </c>
      <c r="J65" s="37"/>
      <c r="K65" s="37"/>
      <c r="L65" s="28">
        <f t="shared" si="0"/>
        <v>55266.090000000004</v>
      </c>
      <c r="M65" s="35"/>
    </row>
    <row r="66" spans="3:13" ht="12.75">
      <c r="C66" s="5">
        <v>1480</v>
      </c>
      <c r="D66" s="31" t="s">
        <v>149</v>
      </c>
      <c r="E66" s="37"/>
      <c r="F66" s="37"/>
      <c r="G66" s="37"/>
      <c r="H66" s="37">
        <f>0+0+158.12+132.68+81.95+0+15.16+-387.91+0+0+0</f>
        <v>0</v>
      </c>
      <c r="I66" s="37"/>
      <c r="J66" s="37"/>
      <c r="K66" s="37"/>
      <c r="L66" s="28">
        <f t="shared" si="0"/>
        <v>0</v>
      </c>
      <c r="M66" s="35"/>
    </row>
    <row r="67" spans="3:13" ht="12.75">
      <c r="C67" s="5">
        <v>1501</v>
      </c>
      <c r="D67" s="31" t="s">
        <v>73</v>
      </c>
      <c r="E67" s="37"/>
      <c r="F67" s="37">
        <v>20085.57</v>
      </c>
      <c r="G67" s="37">
        <v>54556.36</v>
      </c>
      <c r="H67" s="37">
        <f>0+7761.82+0+0+0+0+3104.73+23285.45+7761.83+0+-1014.91+-2221.14</f>
        <v>38677.78</v>
      </c>
      <c r="I67" s="37">
        <f>0+25847.18+3916.24+42295.38+54435.71+44645.13+51483.91+54100.57+47374.86+32045.14+36056.4+2262.78</f>
        <v>394463.30000000005</v>
      </c>
      <c r="J67" s="37">
        <f>-16914.03+23081.21+24917.14+1566.47+20058.2+3480.73+41704.15+24474.85+68299.9+84217.45+20040.33</f>
        <v>294926.4</v>
      </c>
      <c r="K67" s="37"/>
      <c r="L67" s="28">
        <f t="shared" si="0"/>
        <v>802709.41</v>
      </c>
      <c r="M67" s="35"/>
    </row>
    <row r="68" spans="3:13" ht="12.75">
      <c r="C68" s="5">
        <v>1550</v>
      </c>
      <c r="D68" s="31" t="s">
        <v>74</v>
      </c>
      <c r="E68" s="37"/>
      <c r="F68" s="37"/>
      <c r="G68" s="37"/>
      <c r="H68" s="37">
        <f>0+0+0+0+0+0+0+4344.69+0+0+-105.2+-178.3</f>
        <v>4061.1899999999996</v>
      </c>
      <c r="I68" s="37"/>
      <c r="J68" s="37">
        <v>17151.42</v>
      </c>
      <c r="K68" s="37"/>
      <c r="L68" s="28">
        <f t="shared" si="0"/>
        <v>21212.609999999997</v>
      </c>
      <c r="M68" s="35"/>
    </row>
    <row r="69" spans="3:13" ht="12.75">
      <c r="C69" s="5">
        <v>1601</v>
      </c>
      <c r="D69" s="31" t="s">
        <v>75</v>
      </c>
      <c r="E69" s="37"/>
      <c r="F69" s="37"/>
      <c r="G69" s="37"/>
      <c r="H69" s="37">
        <f>0+0+0+0+0+2792.71+0+0+0+0+-67.62+-110.14</f>
        <v>2614.9500000000003</v>
      </c>
      <c r="I69" s="37"/>
      <c r="J69" s="37"/>
      <c r="K69" s="37"/>
      <c r="L69" s="28">
        <f t="shared" si="0"/>
        <v>2614.9500000000003</v>
      </c>
      <c r="M69" s="35"/>
    </row>
    <row r="70" spans="3:13" ht="18">
      <c r="C70" s="5">
        <v>1701</v>
      </c>
      <c r="D70" s="42" t="s">
        <v>133</v>
      </c>
      <c r="E70" s="37">
        <v>12180.31</v>
      </c>
      <c r="F70" s="37">
        <v>97522.79</v>
      </c>
      <c r="G70" s="37">
        <v>262052.4</v>
      </c>
      <c r="H70" s="37">
        <f>16165.3+-156.06+2792.68+5752.97+12819.38+5629.26+5528.15+0+0+0+-1141.07+-1871.04</f>
        <v>45519.57</v>
      </c>
      <c r="I70" s="37">
        <f>-316.31+0.31+0+0+13315.21+783.25-232.65+3081.3+1188.17+931.11</f>
        <v>18750.39</v>
      </c>
      <c r="J70" s="37">
        <f>4699.35+13699.03+19933.91+28892.49+16200.93</f>
        <v>83425.70999999999</v>
      </c>
      <c r="K70" s="37"/>
      <c r="L70" s="28">
        <f t="shared" si="0"/>
        <v>519451.17000000004</v>
      </c>
      <c r="M70" s="35"/>
    </row>
    <row r="71" spans="3:13" ht="18">
      <c r="C71" s="5">
        <v>1702</v>
      </c>
      <c r="D71" s="42" t="s">
        <v>134</v>
      </c>
      <c r="E71" s="37"/>
      <c r="F71" s="37"/>
      <c r="G71" s="37"/>
      <c r="H71" s="37"/>
      <c r="I71" s="37"/>
      <c r="J71" s="37">
        <f>32600.78-857.92+21236.64+33762.83+25609.51+27139.28+26542.84+37662.25-18972.89</f>
        <v>184723.32</v>
      </c>
      <c r="K71" s="37"/>
      <c r="L71" s="28">
        <f t="shared" si="0"/>
        <v>184723.32</v>
      </c>
      <c r="M71" s="35"/>
    </row>
    <row r="72" spans="2:13" ht="12.75">
      <c r="B72" s="5" t="s">
        <v>76</v>
      </c>
      <c r="C72" s="5">
        <v>1801</v>
      </c>
      <c r="D72" s="41" t="s">
        <v>77</v>
      </c>
      <c r="E72" s="37">
        <v>7746.04</v>
      </c>
      <c r="F72" s="37">
        <v>256.37</v>
      </c>
      <c r="G72" s="37"/>
      <c r="H72" s="37">
        <f>0+0+0+0+0+3578.06+0+0+0+0+-86.64+-217.86</f>
        <v>3273.56</v>
      </c>
      <c r="I72" s="37"/>
      <c r="J72" s="37"/>
      <c r="K72" s="37"/>
      <c r="L72" s="28">
        <f t="shared" si="0"/>
        <v>11275.97</v>
      </c>
      <c r="M72" s="35"/>
    </row>
    <row r="73" spans="3:13" ht="12.75">
      <c r="C73" s="5">
        <v>1802</v>
      </c>
      <c r="D73" s="31" t="s">
        <v>78</v>
      </c>
      <c r="E73" s="37"/>
      <c r="F73" s="37">
        <v>148955.78</v>
      </c>
      <c r="G73" s="37">
        <v>219130.45</v>
      </c>
      <c r="H73" s="37">
        <f>13511.68+16606.54+20208.11+27479.4+24948.61+33827.04+30337.62+22464.59+19991.48+41382.13+36493.44+20061.12</f>
        <v>307311.76</v>
      </c>
      <c r="I73" s="37">
        <f>33235.37+44925.87+42283.62+32811.69+41727.91+51272.51+76058.12+65150.38+43797.61+44371.24+70184.34+56680</f>
        <v>602498.66</v>
      </c>
      <c r="J73" s="37">
        <f>34760+56159.58+52953.37+34553.97+68468.43+63832.19+72147.41+68937.84+55996.67+43626.94+58741.68</f>
        <v>610178.0800000001</v>
      </c>
      <c r="K73" s="37"/>
      <c r="L73" s="28">
        <f t="shared" si="0"/>
        <v>1888074.73</v>
      </c>
      <c r="M73" s="35"/>
    </row>
    <row r="74" spans="3:13" ht="12.75">
      <c r="C74" s="5">
        <v>1803</v>
      </c>
      <c r="D74" s="31" t="s">
        <v>79</v>
      </c>
      <c r="E74" s="37"/>
      <c r="F74" s="37"/>
      <c r="G74" s="37">
        <v>450389.2</v>
      </c>
      <c r="H74" s="37">
        <f>36980.45+31808.2+25633.18+26086.71+28828.62+45450.03+48084.81+55970.06+55054.57+61965.04+33713.23+41841.37</f>
        <v>491416.2699999999</v>
      </c>
      <c r="I74" s="37">
        <f>51904.01+30314.57+22889.56+21009.42+27341.8+44454.9+19795.91+34185.01+34007.46+18086.64+37434.43+14012.38</f>
        <v>355436.09</v>
      </c>
      <c r="J74" s="37">
        <f>15582.15+23077.1+23318.81+52600.39+61387.72+64399.4+80967.14+65216.44+71256.65+33210.09+20787.66</f>
        <v>511803.5499999999</v>
      </c>
      <c r="K74" s="37"/>
      <c r="L74" s="28">
        <f t="shared" si="0"/>
        <v>1809045.1099999999</v>
      </c>
      <c r="M74" s="35"/>
    </row>
    <row r="75" spans="3:13" ht="12.75">
      <c r="C75" s="5">
        <v>1804</v>
      </c>
      <c r="D75" s="31" t="s">
        <v>80</v>
      </c>
      <c r="E75" s="37"/>
      <c r="F75" s="37">
        <v>181246.77</v>
      </c>
      <c r="G75" s="37">
        <v>256657.11</v>
      </c>
      <c r="H75" s="37">
        <f>9453.9+133.36+0+10718.27+38986.86+35020.8+70.04+112.37+0+519.5+16209.7+-886.88</f>
        <v>110337.91999999998</v>
      </c>
      <c r="I75" s="37">
        <f>5737.08+4992.05+0+0+0+0-151.07</f>
        <v>10578.060000000001</v>
      </c>
      <c r="J75" s="37"/>
      <c r="K75" s="37"/>
      <c r="L75" s="28">
        <f t="shared" si="0"/>
        <v>558819.8600000001</v>
      </c>
      <c r="M75" s="35"/>
    </row>
    <row r="76" spans="3:13" ht="12.75">
      <c r="C76" s="5">
        <v>1805</v>
      </c>
      <c r="D76" s="31" t="s">
        <v>81</v>
      </c>
      <c r="E76" s="37"/>
      <c r="F76" s="37"/>
      <c r="G76" s="37"/>
      <c r="H76" s="37"/>
      <c r="I76" s="37">
        <f>0+6876.84+0+0+0+0-113.48+53711.37-773.92</f>
        <v>59700.810000000005</v>
      </c>
      <c r="J76" s="37">
        <f>27113.24+0.51-705.56+31102.17+39253.41</f>
        <v>96763.77</v>
      </c>
      <c r="K76" s="37"/>
      <c r="L76" s="28">
        <f t="shared" si="0"/>
        <v>156464.58000000002</v>
      </c>
      <c r="M76" s="35"/>
    </row>
    <row r="77" spans="1:12" s="47" customFormat="1" ht="12.75">
      <c r="A77" s="25"/>
      <c r="B77" s="25"/>
      <c r="C77" s="51">
        <v>1806</v>
      </c>
      <c r="D77" s="52" t="s">
        <v>146</v>
      </c>
      <c r="E77" s="45"/>
      <c r="F77" s="45"/>
      <c r="G77" s="45"/>
      <c r="H77" s="45"/>
      <c r="I77" s="45"/>
      <c r="J77" s="45"/>
      <c r="K77" s="45"/>
      <c r="L77" s="28">
        <f t="shared" si="0"/>
        <v>0</v>
      </c>
    </row>
    <row r="78" spans="3:13" ht="12.75">
      <c r="C78" s="16">
        <v>1808</v>
      </c>
      <c r="D78" s="38" t="s">
        <v>82</v>
      </c>
      <c r="E78" s="39"/>
      <c r="F78" s="39"/>
      <c r="G78" s="39"/>
      <c r="H78" s="39">
        <f>0+0+0+0+0+566.96+0+0+0+0+2041.1+-105.43</f>
        <v>2502.63</v>
      </c>
      <c r="I78" s="39">
        <f>0+939.78+626.52+0+0+0-25.84-31.02+8.05</f>
        <v>1517.49</v>
      </c>
      <c r="J78" s="39">
        <v>4417.03</v>
      </c>
      <c r="K78" s="39"/>
      <c r="L78" s="40">
        <f t="shared" si="0"/>
        <v>8437.15</v>
      </c>
      <c r="M78" s="35" t="s">
        <v>30</v>
      </c>
    </row>
    <row r="79" spans="3:13" ht="22.5" customHeight="1">
      <c r="C79" s="5">
        <v>1810</v>
      </c>
      <c r="D79" s="31" t="s">
        <v>83</v>
      </c>
      <c r="E79" s="37"/>
      <c r="F79" s="37"/>
      <c r="G79" s="37">
        <v>5208.87</v>
      </c>
      <c r="H79" s="37">
        <f>0+0+575.96+0+0+9056.95+1692.99+19497.26+35841.31+9968.06+13358.32+50923.6</f>
        <v>140914.45</v>
      </c>
      <c r="I79" s="37">
        <f>54825.67+50250.47+56869.16+59193.26+57141.34+118225.33+89877.17+107635.2+120890.53+76331.74+198049.21+168206.6</f>
        <v>1157495.68</v>
      </c>
      <c r="J79" s="37">
        <f>116848.16+160367.81+126623.85+124189.19+208714+204283.17+288035.68+457543.32+352867.2+226914.87+170660.08</f>
        <v>2437047.33</v>
      </c>
      <c r="K79" s="37"/>
      <c r="L79" s="28">
        <f t="shared" si="0"/>
        <v>3740666.33</v>
      </c>
      <c r="M79" s="35"/>
    </row>
    <row r="80" spans="3:13" ht="12.75">
      <c r="C80" s="5">
        <v>1815</v>
      </c>
      <c r="D80" s="31" t="s">
        <v>84</v>
      </c>
      <c r="E80" s="37"/>
      <c r="F80" s="37"/>
      <c r="G80" s="37"/>
      <c r="H80" s="37"/>
      <c r="I80" s="37">
        <v>3.39</v>
      </c>
      <c r="J80" s="37"/>
      <c r="K80" s="37"/>
      <c r="L80" s="28">
        <f t="shared" si="0"/>
        <v>3.39</v>
      </c>
      <c r="M80" s="35"/>
    </row>
    <row r="81" spans="3:13" ht="12.75">
      <c r="C81" s="16">
        <v>1859</v>
      </c>
      <c r="D81" s="38" t="s">
        <v>85</v>
      </c>
      <c r="E81" s="39"/>
      <c r="F81" s="39"/>
      <c r="G81" s="39"/>
      <c r="H81" s="39"/>
      <c r="I81" s="39">
        <f>0+18391.12+703.08+0+0+12737.64+5436.67-593.32-711.99-1094.33</f>
        <v>34868.87</v>
      </c>
      <c r="J81" s="39"/>
      <c r="K81" s="39"/>
      <c r="L81" s="40">
        <f t="shared" si="0"/>
        <v>34868.87</v>
      </c>
      <c r="M81" s="35" t="s">
        <v>30</v>
      </c>
    </row>
    <row r="82" spans="3:13" ht="12.75">
      <c r="C82" s="5">
        <v>1901</v>
      </c>
      <c r="D82" s="31" t="s">
        <v>86</v>
      </c>
      <c r="E82" s="37">
        <v>67067.88</v>
      </c>
      <c r="F82" s="37">
        <v>170309.71</v>
      </c>
      <c r="G82" s="37"/>
      <c r="H82" s="37"/>
      <c r="I82" s="37"/>
      <c r="J82" s="37"/>
      <c r="K82" s="37"/>
      <c r="L82" s="28">
        <f t="shared" si="0"/>
        <v>237377.59</v>
      </c>
      <c r="M82" s="35"/>
    </row>
    <row r="83" spans="2:13" ht="12.75">
      <c r="B83" s="5" t="s">
        <v>87</v>
      </c>
      <c r="D83" s="31" t="s">
        <v>88</v>
      </c>
      <c r="E83" s="37"/>
      <c r="F83" s="37"/>
      <c r="G83" s="37"/>
      <c r="H83" s="37"/>
      <c r="I83" s="37"/>
      <c r="J83" s="37"/>
      <c r="K83" s="37"/>
      <c r="L83" s="28">
        <f t="shared" si="0"/>
        <v>0</v>
      </c>
      <c r="M83" s="35"/>
    </row>
    <row r="84" spans="3:13" ht="12.75">
      <c r="C84" s="5">
        <v>2001</v>
      </c>
      <c r="D84" s="31" t="s">
        <v>89</v>
      </c>
      <c r="E84" s="37">
        <v>57500.51</v>
      </c>
      <c r="F84" s="37">
        <v>2579.37</v>
      </c>
      <c r="G84" s="37"/>
      <c r="H84" s="37"/>
      <c r="I84" s="37"/>
      <c r="J84" s="37"/>
      <c r="K84" s="37"/>
      <c r="L84" s="28">
        <f t="shared" si="0"/>
        <v>60079.880000000005</v>
      </c>
      <c r="M84" s="35"/>
    </row>
    <row r="85" spans="3:13" ht="12.75">
      <c r="C85" s="5">
        <v>2501</v>
      </c>
      <c r="D85" s="31" t="s">
        <v>90</v>
      </c>
      <c r="E85" s="37">
        <v>146304.79</v>
      </c>
      <c r="F85" s="37">
        <v>137872.14</v>
      </c>
      <c r="G85" s="37"/>
      <c r="H85" s="37">
        <f>0+0+0+0+834.5+0+0+0+0+0+-20.2+-49.78</f>
        <v>764.52</v>
      </c>
      <c r="I85" s="37"/>
      <c r="J85" s="37"/>
      <c r="K85" s="37"/>
      <c r="L85" s="28">
        <f t="shared" si="0"/>
        <v>284941.45000000007</v>
      </c>
      <c r="M85" s="35"/>
    </row>
    <row r="86" spans="2:13" ht="12.75">
      <c r="B86" s="5" t="s">
        <v>91</v>
      </c>
      <c r="D86" s="31" t="s">
        <v>92</v>
      </c>
      <c r="E86" s="37"/>
      <c r="F86" s="37"/>
      <c r="G86" s="37"/>
      <c r="H86" s="37"/>
      <c r="I86" s="37"/>
      <c r="J86" s="37"/>
      <c r="K86" s="37"/>
      <c r="L86" s="28">
        <f t="shared" si="0"/>
        <v>0</v>
      </c>
      <c r="M86" s="35"/>
    </row>
    <row r="87" spans="3:13" ht="12.75">
      <c r="C87" s="5">
        <v>3101</v>
      </c>
      <c r="D87" s="31" t="s">
        <v>93</v>
      </c>
      <c r="E87" s="37"/>
      <c r="F87" s="37"/>
      <c r="G87" s="37">
        <v>131432.46</v>
      </c>
      <c r="H87" s="37">
        <f>20454.93+47155.68+41837.68+50073.47+51835.39+32867.21+32565.58+22826.77+16692.14+12790.89+6056.41+2965.84</f>
        <v>338121.99000000005</v>
      </c>
      <c r="I87" s="37">
        <f>5621.91+5498.48+14553.58+13303.97+31031.67+43138.96+31321.89+27066.52+15884.57+35216.33+30572+9403.99</f>
        <v>262613.87</v>
      </c>
      <c r="J87" s="37">
        <f>1477.27+1346.17+10900.12+7218.86+29189.03+13273.14+8019.13+44581.3+31946.77+9190.85</f>
        <v>157142.64</v>
      </c>
      <c r="K87" s="37"/>
      <c r="L87" s="28">
        <f t="shared" si="0"/>
        <v>889310.9600000001</v>
      </c>
      <c r="M87" s="35"/>
    </row>
    <row r="88" spans="3:13" ht="12.75">
      <c r="C88" s="5">
        <v>3901</v>
      </c>
      <c r="D88" s="31" t="s">
        <v>94</v>
      </c>
      <c r="E88" s="37">
        <v>155452.17</v>
      </c>
      <c r="F88" s="37">
        <v>74611.27</v>
      </c>
      <c r="G88" s="37">
        <v>44349.85</v>
      </c>
      <c r="H88" s="37">
        <f>6347.27+4748.91+6834.86+1420.43+4837.88+4261.28+2840.85+4261.28+2840.86+2840.85+1773.62+258.65</f>
        <v>43266.740000000005</v>
      </c>
      <c r="I88" s="37">
        <f>3733.53+5578.27+2821.75+4232.65+2821.76+2821.76+2821.75+2620.81+4201.88+6224.8+4117.29+2396.14</f>
        <v>44392.39000000001</v>
      </c>
      <c r="J88" s="37">
        <f>2884.3+4292.92+4306.34+2870.89+2870.89+21762.63+5619.9+4214.93+2107.45+5619.88</f>
        <v>56550.13</v>
      </c>
      <c r="K88" s="37"/>
      <c r="L88" s="28">
        <f t="shared" si="0"/>
        <v>418622.55</v>
      </c>
      <c r="M88" s="35"/>
    </row>
    <row r="89" spans="2:13" ht="12.75">
      <c r="B89" s="5" t="s">
        <v>95</v>
      </c>
      <c r="D89" s="31" t="s">
        <v>96</v>
      </c>
      <c r="E89" s="37"/>
      <c r="F89" s="37"/>
      <c r="G89" s="37"/>
      <c r="H89" s="37"/>
      <c r="I89" s="37"/>
      <c r="J89" s="37"/>
      <c r="K89" s="37"/>
      <c r="L89" s="28">
        <f t="shared" si="0"/>
        <v>0</v>
      </c>
      <c r="M89" s="35"/>
    </row>
    <row r="90" spans="3:13" ht="12.75">
      <c r="C90" s="5">
        <v>4101</v>
      </c>
      <c r="D90" s="31" t="s">
        <v>97</v>
      </c>
      <c r="E90" s="37"/>
      <c r="F90" s="37">
        <v>80588.12</v>
      </c>
      <c r="G90" s="37">
        <v>26761.19</v>
      </c>
      <c r="H90" s="37"/>
      <c r="I90" s="37">
        <v>-104102.69</v>
      </c>
      <c r="J90" s="37"/>
      <c r="K90" s="37"/>
      <c r="L90" s="28">
        <f aca="true" t="shared" si="1" ref="L90:L123">SUM(E90:J90)</f>
        <v>3246.6199999999953</v>
      </c>
      <c r="M90" s="35"/>
    </row>
    <row r="91" spans="3:13" ht="12.75">
      <c r="C91" s="5">
        <v>4301</v>
      </c>
      <c r="D91" s="31" t="s">
        <v>98</v>
      </c>
      <c r="E91" s="37">
        <v>2393.4</v>
      </c>
      <c r="F91" s="37">
        <v>409394</v>
      </c>
      <c r="G91" s="37">
        <v>-224124.01</v>
      </c>
      <c r="H91" s="37">
        <f>35582.04+53241.91+14871.11+15703.49+31911.36+6912.93+-2244.24+0+0+0+-3789.46+-8870.49</f>
        <v>143318.65000000005</v>
      </c>
      <c r="I91" s="37"/>
      <c r="J91" s="37">
        <f>703.77+3193.5+16606.38+2755.23+6997.52</f>
        <v>30256.4</v>
      </c>
      <c r="K91" s="37"/>
      <c r="L91" s="28">
        <f t="shared" si="1"/>
        <v>361238.44000000006</v>
      </c>
      <c r="M91" s="35"/>
    </row>
    <row r="92" spans="3:13" ht="12.75">
      <c r="C92" s="16">
        <v>4350</v>
      </c>
      <c r="D92" s="38" t="s">
        <v>99</v>
      </c>
      <c r="E92" s="39"/>
      <c r="F92" s="39">
        <v>26918.8</v>
      </c>
      <c r="G92" s="39">
        <v>11861.63</v>
      </c>
      <c r="H92" s="39"/>
      <c r="I92" s="39"/>
      <c r="J92" s="39"/>
      <c r="K92" s="39"/>
      <c r="L92" s="40">
        <f t="shared" si="1"/>
        <v>38780.43</v>
      </c>
      <c r="M92" s="35" t="s">
        <v>30</v>
      </c>
    </row>
    <row r="93" spans="3:13" ht="12.75">
      <c r="C93" s="5">
        <v>4401</v>
      </c>
      <c r="D93" s="31" t="s">
        <v>100</v>
      </c>
      <c r="E93" s="37"/>
      <c r="F93" s="37">
        <v>21960.35</v>
      </c>
      <c r="G93" s="37">
        <v>32639.16</v>
      </c>
      <c r="H93" s="37">
        <f>10187.66+4747.57+1448.46+2896.9+4345.37+3463.85+1159.05+6.02+0+0+-662.03+-1669.34</f>
        <v>25923.51</v>
      </c>
      <c r="I93" s="37"/>
      <c r="J93" s="37">
        <f>1407.51+2725.36+1377.62+2066.44+4132.88</f>
        <v>11709.810000000001</v>
      </c>
      <c r="K93" s="37"/>
      <c r="L93" s="28">
        <f t="shared" si="1"/>
        <v>92232.82999999999</v>
      </c>
      <c r="M93" s="35"/>
    </row>
    <row r="94" spans="3:13" ht="12.75">
      <c r="C94" s="5">
        <v>4501</v>
      </c>
      <c r="D94" s="31" t="s">
        <v>101</v>
      </c>
      <c r="E94" s="37">
        <v>112344.49</v>
      </c>
      <c r="F94" s="37">
        <v>25955.48</v>
      </c>
      <c r="G94" s="37"/>
      <c r="H94" s="37">
        <f>0+0+0+0+0+0+5793.83+2172.7+1448.45+1448.47+1857.03+531.44</f>
        <v>13251.92</v>
      </c>
      <c r="I94" s="37">
        <f>744.67+2913.63+1463.33+2926.66+1463.33+0-156.96-188.34-357.05</f>
        <v>8809.27</v>
      </c>
      <c r="J94" s="37"/>
      <c r="K94" s="37"/>
      <c r="L94" s="28">
        <f t="shared" si="1"/>
        <v>160361.16</v>
      </c>
      <c r="M94" s="35"/>
    </row>
    <row r="95" spans="3:13" ht="12.75">
      <c r="C95" s="5">
        <v>4601</v>
      </c>
      <c r="D95" s="31" t="s">
        <v>102</v>
      </c>
      <c r="E95" s="37">
        <v>1305.33</v>
      </c>
      <c r="F95" s="37"/>
      <c r="G95" s="37"/>
      <c r="H95" s="37"/>
      <c r="I95" s="37"/>
      <c r="J95" s="37"/>
      <c r="K95" s="37"/>
      <c r="L95" s="28">
        <f t="shared" si="1"/>
        <v>1305.33</v>
      </c>
      <c r="M95" s="35"/>
    </row>
    <row r="96" spans="2:13" ht="12.75">
      <c r="B96" s="5" t="s">
        <v>103</v>
      </c>
      <c r="D96" s="31" t="s">
        <v>104</v>
      </c>
      <c r="E96" s="37"/>
      <c r="F96" s="37"/>
      <c r="G96" s="37"/>
      <c r="H96" s="37"/>
      <c r="I96" s="37"/>
      <c r="J96" s="37"/>
      <c r="K96" s="37"/>
      <c r="L96" s="28">
        <f t="shared" si="1"/>
        <v>0</v>
      </c>
      <c r="M96" s="35"/>
    </row>
    <row r="97" spans="3:13" ht="12.75">
      <c r="C97" s="5">
        <v>5801</v>
      </c>
      <c r="D97" s="31" t="s">
        <v>105</v>
      </c>
      <c r="E97" s="37">
        <v>11948.98</v>
      </c>
      <c r="F97" s="37">
        <v>19155.53</v>
      </c>
      <c r="G97" s="37">
        <v>1922.75</v>
      </c>
      <c r="H97" s="37"/>
      <c r="I97" s="37"/>
      <c r="J97" s="37">
        <f>4487.85+6731.79+3926.86+2243.92</f>
        <v>17390.42</v>
      </c>
      <c r="K97" s="37"/>
      <c r="L97" s="28">
        <f t="shared" si="1"/>
        <v>50417.67999999999</v>
      </c>
      <c r="M97" s="35"/>
    </row>
    <row r="98" spans="2:13" ht="12.75">
      <c r="B98" s="5" t="s">
        <v>106</v>
      </c>
      <c r="D98" s="31" t="s">
        <v>107</v>
      </c>
      <c r="E98" s="37"/>
      <c r="F98" s="37"/>
      <c r="G98" s="37"/>
      <c r="H98" s="37"/>
      <c r="I98" s="37"/>
      <c r="J98" s="37"/>
      <c r="K98" s="37"/>
      <c r="L98" s="28">
        <f t="shared" si="1"/>
        <v>0</v>
      </c>
      <c r="M98" s="35"/>
    </row>
    <row r="99" spans="3:13" ht="12.75">
      <c r="C99" s="5">
        <v>6163</v>
      </c>
      <c r="D99" s="31" t="s">
        <v>108</v>
      </c>
      <c r="E99" s="37"/>
      <c r="F99" s="37">
        <v>14873.15</v>
      </c>
      <c r="G99" s="37"/>
      <c r="H99" s="37"/>
      <c r="I99" s="37"/>
      <c r="J99" s="37"/>
      <c r="K99" s="37"/>
      <c r="L99" s="28">
        <f t="shared" si="1"/>
        <v>14873.15</v>
      </c>
      <c r="M99" s="35"/>
    </row>
    <row r="100" spans="3:13" ht="12.75">
      <c r="C100" s="16">
        <v>6201</v>
      </c>
      <c r="D100" s="38" t="s">
        <v>109</v>
      </c>
      <c r="E100" s="39"/>
      <c r="F100" s="39"/>
      <c r="G100" s="39"/>
      <c r="H100" s="39"/>
      <c r="I100" s="39"/>
      <c r="J100" s="39">
        <f>31521.96+12239.91</f>
        <v>43761.869999999995</v>
      </c>
      <c r="K100" s="39"/>
      <c r="L100" s="40">
        <f t="shared" si="1"/>
        <v>43761.869999999995</v>
      </c>
      <c r="M100" s="35" t="s">
        <v>30</v>
      </c>
    </row>
    <row r="101" spans="3:13" ht="12.75">
      <c r="C101" s="5">
        <v>6501</v>
      </c>
      <c r="D101" s="31" t="s">
        <v>110</v>
      </c>
      <c r="E101" s="37">
        <v>9376.85</v>
      </c>
      <c r="F101" s="37"/>
      <c r="G101" s="37"/>
      <c r="H101" s="37"/>
      <c r="I101" s="37"/>
      <c r="J101" s="37"/>
      <c r="K101" s="37"/>
      <c r="L101" s="28">
        <f t="shared" si="1"/>
        <v>9376.85</v>
      </c>
      <c r="M101" s="35"/>
    </row>
    <row r="102" spans="2:13" ht="12.75">
      <c r="B102" s="5" t="s">
        <v>111</v>
      </c>
      <c r="D102" s="31" t="s">
        <v>112</v>
      </c>
      <c r="E102" s="37"/>
      <c r="F102" s="37"/>
      <c r="G102" s="37"/>
      <c r="H102" s="37"/>
      <c r="I102" s="37"/>
      <c r="J102" s="37"/>
      <c r="K102" s="37"/>
      <c r="L102" s="28">
        <f t="shared" si="1"/>
        <v>0</v>
      </c>
      <c r="M102" s="35"/>
    </row>
    <row r="103" spans="3:13" ht="12.75">
      <c r="C103" s="5">
        <v>7101</v>
      </c>
      <c r="D103" s="31" t="s">
        <v>113</v>
      </c>
      <c r="E103" s="37">
        <v>32149.93</v>
      </c>
      <c r="F103" s="37"/>
      <c r="G103" s="37"/>
      <c r="H103" s="37">
        <f>0+0+0+0+485.97+0+0+0+0+0+-11.77+-19.17</f>
        <v>455.03000000000003</v>
      </c>
      <c r="I103" s="37"/>
      <c r="J103" s="37"/>
      <c r="K103" s="37"/>
      <c r="L103" s="28">
        <f t="shared" si="1"/>
        <v>32604.96</v>
      </c>
      <c r="M103" s="35"/>
    </row>
    <row r="104" spans="3:13" ht="12.75">
      <c r="C104" s="5">
        <v>7301</v>
      </c>
      <c r="D104" s="31" t="s">
        <v>114</v>
      </c>
      <c r="E104" s="37"/>
      <c r="F104" s="37"/>
      <c r="G104" s="37">
        <v>72996.62</v>
      </c>
      <c r="H104" s="37">
        <f>1288.84+1755.23+0+0+0+0+0+0+0+0+-27.57+-75.56</f>
        <v>2940.9399999999996</v>
      </c>
      <c r="I104" s="37"/>
      <c r="J104" s="37"/>
      <c r="K104" s="37"/>
      <c r="L104" s="28">
        <f t="shared" si="1"/>
        <v>75937.56</v>
      </c>
      <c r="M104" s="35"/>
    </row>
    <row r="105" spans="3:13" ht="12.75">
      <c r="C105" s="5">
        <v>7401</v>
      </c>
      <c r="D105" s="31" t="s">
        <v>115</v>
      </c>
      <c r="E105" s="37">
        <v>131681.39</v>
      </c>
      <c r="F105" s="37">
        <v>197551.53</v>
      </c>
      <c r="G105" s="37">
        <v>465709.6</v>
      </c>
      <c r="H105" s="37">
        <f>10269.61+15101.02+3471.95+792.11+8051.83+418.83+185.4+2244.82+5212.93+224.95+-772.33+-1482.72</f>
        <v>43718.4</v>
      </c>
      <c r="I105" s="37">
        <f>227.13+5105.64+223.16+223.15+223.16+223.15+9715.53-297561.03+4220.5+3612.4+6749.17+293.96</f>
        <v>-266744.08</v>
      </c>
      <c r="J105" s="37">
        <f>6801.05+6801.07+19386.54+17928.87+18638.71+10650.67+2662.68+15.81</f>
        <v>82885.39999999998</v>
      </c>
      <c r="K105" s="37"/>
      <c r="L105" s="28">
        <f t="shared" si="1"/>
        <v>654802.2400000001</v>
      </c>
      <c r="M105" s="35"/>
    </row>
    <row r="106" spans="3:13" ht="12.75">
      <c r="C106" s="5">
        <v>7501</v>
      </c>
      <c r="D106" s="31" t="s">
        <v>116</v>
      </c>
      <c r="E106" s="37"/>
      <c r="F106" s="37"/>
      <c r="G106" s="37">
        <v>29.03</v>
      </c>
      <c r="H106" s="37"/>
      <c r="I106" s="37"/>
      <c r="J106" s="37"/>
      <c r="K106" s="37"/>
      <c r="L106" s="28">
        <f t="shared" si="1"/>
        <v>29.03</v>
      </c>
      <c r="M106" s="35"/>
    </row>
    <row r="107" spans="2:13" ht="12.75">
      <c r="B107" s="5" t="s">
        <v>24</v>
      </c>
      <c r="D107" s="31" t="s">
        <v>117</v>
      </c>
      <c r="E107" s="37"/>
      <c r="F107" s="37"/>
      <c r="G107" s="37"/>
      <c r="H107" s="37"/>
      <c r="I107" s="37"/>
      <c r="J107" s="37"/>
      <c r="K107" s="37"/>
      <c r="L107" s="28">
        <f t="shared" si="1"/>
        <v>0</v>
      </c>
      <c r="M107" s="35"/>
    </row>
    <row r="108" spans="3:13" ht="12.75">
      <c r="C108" s="5">
        <v>8101</v>
      </c>
      <c r="D108" s="31" t="s">
        <v>144</v>
      </c>
      <c r="E108" s="37">
        <v>223477.17</v>
      </c>
      <c r="F108" s="37">
        <v>877505.48</v>
      </c>
      <c r="G108" s="37">
        <v>690248.39</v>
      </c>
      <c r="H108" s="37">
        <f>54218.27+59658.05+58776.81+44707.79+60233.79+60396.75+60303.74+66099.6+55678.46+45260.27+24143.45+12473.74</f>
        <v>601950.72</v>
      </c>
      <c r="I108" s="37">
        <f>42872.78+40305+50588.62+25990.89+32943.3+36648.15+43721.89+55877.66+58941.87+42732.2+48726.06+80003.16</f>
        <v>559351.58</v>
      </c>
      <c r="J108" s="37">
        <f>45034.26+52458.09+49307.64+44607.97+61360.44+155854.1+197420.97-59619.2+57729.78+41318.71-29873.67</f>
        <v>615599.09</v>
      </c>
      <c r="K108" s="37"/>
      <c r="L108" s="28">
        <f t="shared" si="1"/>
        <v>3568132.4299999997</v>
      </c>
      <c r="M108" s="35"/>
    </row>
    <row r="109" spans="1:12" s="47" customFormat="1" ht="12.75">
      <c r="A109" s="25"/>
      <c r="B109" s="25"/>
      <c r="C109" s="51">
        <v>8102</v>
      </c>
      <c r="D109" s="52" t="s">
        <v>145</v>
      </c>
      <c r="E109" s="45"/>
      <c r="F109" s="45"/>
      <c r="G109" s="45"/>
      <c r="H109" s="45"/>
      <c r="I109" s="45"/>
      <c r="J109" s="45"/>
      <c r="K109" s="45"/>
      <c r="L109" s="46">
        <f>SUM(E109:J109)</f>
        <v>0</v>
      </c>
    </row>
    <row r="110" spans="3:13" ht="12.75">
      <c r="C110" s="5">
        <v>8202</v>
      </c>
      <c r="D110" s="31" t="s">
        <v>118</v>
      </c>
      <c r="E110" s="37">
        <v>295529.27</v>
      </c>
      <c r="F110" s="37">
        <v>695078.92</v>
      </c>
      <c r="G110" s="37">
        <v>624512.44</v>
      </c>
      <c r="H110" s="37">
        <f>54673.04+68822.09+57536.73+55807.98+55457.78+57675.82+58958.79+48492.21+64533.06+67053.17+52341.56+24069.39</f>
        <v>665421.62</v>
      </c>
      <c r="I110" s="37">
        <f>45854.76+55421.98+55621.25+37612.59+54586.19+59962.35+63659.54+59596.45+58631.75+50970.59+87374.31+54224.31</f>
        <v>683516.0700000001</v>
      </c>
      <c r="J110" s="37">
        <f>54702.35+55126.59+62893.69+46308.34+67205.25+54223.82+54164.31+72040.17+40454.98+29879.81+21048.97</f>
        <v>558048.2799999999</v>
      </c>
      <c r="K110" s="37"/>
      <c r="L110" s="28">
        <f t="shared" si="1"/>
        <v>3522106.6</v>
      </c>
      <c r="M110" s="35"/>
    </row>
    <row r="111" spans="3:13" ht="12.75">
      <c r="C111" s="5">
        <v>8203</v>
      </c>
      <c r="D111" s="31" t="s">
        <v>119</v>
      </c>
      <c r="E111" s="37">
        <v>178750.93</v>
      </c>
      <c r="F111" s="37">
        <v>382155.27</v>
      </c>
      <c r="G111" s="37">
        <v>125603.61</v>
      </c>
      <c r="H111" s="37">
        <f>10921.91+3620.03+9655.69+3725.69+18247.47+18317.88+26935.7+18543.03+20646.42+12729.37+17432.96+5593.65</f>
        <v>166369.8</v>
      </c>
      <c r="I111" s="37">
        <f>9403.41+26772.9+18014.7+13471.87+15664.96+28202.23+24111.03+5079.76+5238.19-644.73+10093.91+14509.29</f>
        <v>169917.52</v>
      </c>
      <c r="J111" s="37">
        <f>19305.4+20050.04+21930.25+16291.04+33318.96+8378.35+17717.72+32385.66+18584.11+7256.41+726.15</f>
        <v>195944.09000000003</v>
      </c>
      <c r="K111" s="37"/>
      <c r="L111" s="28">
        <f t="shared" si="1"/>
        <v>1218741.22</v>
      </c>
      <c r="M111" s="35"/>
    </row>
    <row r="112" spans="3:13" ht="12.75">
      <c r="C112" s="5">
        <v>8204</v>
      </c>
      <c r="D112" s="31" t="s">
        <v>120</v>
      </c>
      <c r="E112" s="37">
        <v>44613.52</v>
      </c>
      <c r="F112" s="37">
        <v>176722.18</v>
      </c>
      <c r="G112" s="37">
        <v>278161.75</v>
      </c>
      <c r="H112" s="37">
        <f>31350.51+27639.25+48107.71+33763.89+54332.69+56273.15+58989.79+55108.84+45018.53+51227.97+23657.46+-14753.19</f>
        <v>470716.6</v>
      </c>
      <c r="I112" s="37">
        <f>34278.69+56578.06+56393.85+32896.4+59135.21+36029.4+38379.13+42583.6+53152.28+40696.62+50469.5+32096.99</f>
        <v>532689.73</v>
      </c>
      <c r="J112" s="37">
        <f>46654.75+47332.12+54752.07+34686.57+62186.12+67126.5+76244.28+67240.18+29045.44+23962.48-10892.05</f>
        <v>498338.46</v>
      </c>
      <c r="K112" s="37"/>
      <c r="L112" s="28">
        <f t="shared" si="1"/>
        <v>2001242.2399999998</v>
      </c>
      <c r="M112" s="35"/>
    </row>
    <row r="113" spans="3:13" ht="12.75">
      <c r="C113" s="5">
        <v>8205</v>
      </c>
      <c r="D113" s="31" t="s">
        <v>121</v>
      </c>
      <c r="E113" s="37"/>
      <c r="F113" s="37"/>
      <c r="G113" s="37">
        <v>89668.44</v>
      </c>
      <c r="H113" s="37">
        <f>0+8522.56+25334.7+16284.39+25658.94+16476.58+17004.32+18424.75+13495.25+11415.07+1899.06+-5503.11</f>
        <v>149012.51</v>
      </c>
      <c r="I113" s="37">
        <f>3248.29+1.66+50.32+2408.41+20023.29+19640.15+17281.98+17506.84+20083.07+20922.33+21472.97+10542.74</f>
        <v>153182.05</v>
      </c>
      <c r="J113" s="37">
        <f>4038.53+17183.13+11798.14+8665.23+7890.34+10120.17+12258.34+9611.35+9327.29+5857.73+7301.81</f>
        <v>104052.05999999998</v>
      </c>
      <c r="K113" s="37"/>
      <c r="L113" s="28">
        <f t="shared" si="1"/>
        <v>495915.06</v>
      </c>
      <c r="M113" s="35"/>
    </row>
    <row r="114" spans="3:13" ht="12.75">
      <c r="C114" s="5">
        <v>8210</v>
      </c>
      <c r="D114" s="31" t="s">
        <v>122</v>
      </c>
      <c r="E114" s="37"/>
      <c r="F114" s="37"/>
      <c r="G114" s="37"/>
      <c r="H114" s="37"/>
      <c r="I114" s="37">
        <f>0+0+0+0+678.04+21917.87+15050.88+8364.18+4826.14+8795.06+16099.78+6371.75</f>
        <v>82103.7</v>
      </c>
      <c r="J114" s="37">
        <f>1625.68+7210.51+680.1+680.1+2720.42+3294.91+6656.7+332.83+665.67+7024.86</f>
        <v>30891.780000000002</v>
      </c>
      <c r="K114" s="37"/>
      <c r="L114" s="28">
        <f t="shared" si="1"/>
        <v>112995.48</v>
      </c>
      <c r="M114" s="35"/>
    </row>
    <row r="115" spans="3:13" ht="12.75">
      <c r="C115" s="5">
        <v>8215</v>
      </c>
      <c r="D115" s="31" t="s">
        <v>123</v>
      </c>
      <c r="E115" s="37"/>
      <c r="F115" s="37"/>
      <c r="G115" s="37"/>
      <c r="H115" s="37"/>
      <c r="I115" s="37"/>
      <c r="J115" s="37">
        <v>6062.43</v>
      </c>
      <c r="K115" s="37"/>
      <c r="L115" s="28">
        <f t="shared" si="1"/>
        <v>6062.43</v>
      </c>
      <c r="M115" s="35"/>
    </row>
    <row r="116" spans="3:13" ht="12.75">
      <c r="C116" s="5">
        <v>8220</v>
      </c>
      <c r="D116" s="31" t="s">
        <v>124</v>
      </c>
      <c r="E116" s="37"/>
      <c r="F116" s="37"/>
      <c r="G116" s="37"/>
      <c r="H116" s="37"/>
      <c r="I116" s="37"/>
      <c r="J116" s="37">
        <f>3609.17+23860.72+83720.77</f>
        <v>111190.66</v>
      </c>
      <c r="K116" s="37"/>
      <c r="L116" s="28">
        <f t="shared" si="1"/>
        <v>111190.66</v>
      </c>
      <c r="M116" s="35"/>
    </row>
    <row r="117" spans="3:13" ht="12.75">
      <c r="C117" s="5">
        <v>8221</v>
      </c>
      <c r="D117" s="31" t="s">
        <v>125</v>
      </c>
      <c r="E117" s="37"/>
      <c r="F117" s="37"/>
      <c r="G117" s="37"/>
      <c r="H117" s="37"/>
      <c r="I117" s="37"/>
      <c r="J117" s="37">
        <f>13796.58+41013.42+93192.75</f>
        <v>148002.75</v>
      </c>
      <c r="K117" s="37"/>
      <c r="L117" s="28">
        <f t="shared" si="1"/>
        <v>148002.75</v>
      </c>
      <c r="M117" s="35"/>
    </row>
    <row r="118" spans="3:13" ht="12.75">
      <c r="C118" s="5">
        <v>8222</v>
      </c>
      <c r="D118" s="31" t="s">
        <v>126</v>
      </c>
      <c r="E118" s="37"/>
      <c r="F118" s="37"/>
      <c r="G118" s="37"/>
      <c r="H118" s="37"/>
      <c r="I118" s="37"/>
      <c r="J118" s="37">
        <f>1483.78+8408.18</f>
        <v>9891.960000000001</v>
      </c>
      <c r="K118" s="37"/>
      <c r="L118" s="28">
        <f t="shared" si="1"/>
        <v>9891.960000000001</v>
      </c>
      <c r="M118" s="35"/>
    </row>
    <row r="119" spans="3:13" ht="12.75">
      <c r="C119" s="5">
        <v>8401</v>
      </c>
      <c r="D119" s="31" t="s">
        <v>143</v>
      </c>
      <c r="E119" s="37">
        <v>374124.21</v>
      </c>
      <c r="F119" s="37">
        <v>113027.77</v>
      </c>
      <c r="G119" s="37">
        <v>355.71</v>
      </c>
      <c r="H119" s="37"/>
      <c r="I119" s="37"/>
      <c r="J119" s="37"/>
      <c r="K119" s="37"/>
      <c r="L119" s="28">
        <f>SUM(E119:J119)</f>
        <v>487507.69000000006</v>
      </c>
      <c r="M119" s="35"/>
    </row>
    <row r="120" spans="3:13" ht="12.75">
      <c r="C120" s="54">
        <v>8402</v>
      </c>
      <c r="D120" s="55" t="s">
        <v>142</v>
      </c>
      <c r="E120" s="37"/>
      <c r="F120" s="37"/>
      <c r="G120" s="37"/>
      <c r="H120" s="37"/>
      <c r="I120" s="37"/>
      <c r="J120" s="37"/>
      <c r="K120" s="37"/>
      <c r="L120" s="28">
        <f t="shared" si="1"/>
        <v>0</v>
      </c>
      <c r="M120" s="35"/>
    </row>
    <row r="121" spans="3:13" ht="12.75">
      <c r="C121" s="5">
        <v>8501</v>
      </c>
      <c r="D121" s="31" t="s">
        <v>127</v>
      </c>
      <c r="E121" s="37"/>
      <c r="F121" s="37"/>
      <c r="G121" s="37"/>
      <c r="H121" s="37"/>
      <c r="I121" s="37"/>
      <c r="J121" s="37">
        <f>3328.33+665.66</f>
        <v>3993.99</v>
      </c>
      <c r="K121" s="37"/>
      <c r="L121" s="28">
        <f t="shared" si="1"/>
        <v>3993.99</v>
      </c>
      <c r="M121" s="35"/>
    </row>
    <row r="122" spans="3:13" ht="12.75">
      <c r="C122" s="5">
        <v>8998</v>
      </c>
      <c r="D122" s="31" t="s">
        <v>128</v>
      </c>
      <c r="E122" s="37">
        <v>60666.07</v>
      </c>
      <c r="F122" s="37">
        <v>289657.03</v>
      </c>
      <c r="G122" s="37">
        <v>325975.76</v>
      </c>
      <c r="H122" s="37">
        <f>14744.66+24776.75+45351.31+34420.71+26708.77+28238.19+28310.67+23262.7+6856.42+22902.24+17711.31+60513.35</f>
        <v>333797.08</v>
      </c>
      <c r="I122" s="37">
        <f>19855.55+27307.78+53474.04+19284.29+23529.17+19915.1+24660.11+22080.88+21062.17+18513.1+30229.78+41146.79</f>
        <v>321058.76</v>
      </c>
      <c r="J122" s="37">
        <f>23781.5+72119.6+27438.09+28270.07+42704.91+28227.39+28953.33+12665.68+20210.12+23690.26+30084.68</f>
        <v>338145.63</v>
      </c>
      <c r="K122" s="37"/>
      <c r="L122" s="28">
        <f t="shared" si="1"/>
        <v>1669300.33</v>
      </c>
      <c r="M122" s="35"/>
    </row>
    <row r="123" spans="4:13" ht="12.75">
      <c r="D123" s="31" t="s">
        <v>129</v>
      </c>
      <c r="E123" s="37"/>
      <c r="F123" s="37">
        <v>0.45</v>
      </c>
      <c r="G123" s="37">
        <v>0.12</v>
      </c>
      <c r="H123" s="37"/>
      <c r="I123" s="37"/>
      <c r="J123" s="37"/>
      <c r="K123" s="37"/>
      <c r="L123" s="28">
        <f t="shared" si="1"/>
        <v>0.5700000000000001</v>
      </c>
      <c r="M123" s="35"/>
    </row>
    <row r="124" spans="4:13" ht="12.75">
      <c r="D124" s="26" t="s">
        <v>19</v>
      </c>
      <c r="E124" s="37">
        <v>-726756.61</v>
      </c>
      <c r="F124" s="37">
        <v>-1610630.37</v>
      </c>
      <c r="G124" s="37">
        <v>-1508229.11</v>
      </c>
      <c r="H124" s="37">
        <v>-1608998.02</v>
      </c>
      <c r="I124" s="37">
        <v>-1521940.99</v>
      </c>
      <c r="J124" s="37"/>
      <c r="K124" s="37"/>
      <c r="L124" s="28">
        <f>SUM(E124:J124)</f>
        <v>-6976555.1</v>
      </c>
      <c r="M124" s="35"/>
    </row>
    <row r="125" spans="4:13" ht="12.75">
      <c r="D125" s="26" t="s">
        <v>130</v>
      </c>
      <c r="E125" s="37"/>
      <c r="F125" s="37"/>
      <c r="G125" s="37"/>
      <c r="H125" s="37"/>
      <c r="I125" s="37"/>
      <c r="J125" s="37">
        <v>-884934.37</v>
      </c>
      <c r="K125" s="37"/>
      <c r="L125" s="28"/>
      <c r="M125" s="35"/>
    </row>
    <row r="126" spans="1:13" ht="12.75">
      <c r="A126" s="1"/>
      <c r="D126" s="31"/>
      <c r="E126" s="37"/>
      <c r="F126" s="37"/>
      <c r="G126" s="37"/>
      <c r="H126" s="37"/>
      <c r="I126" s="37"/>
      <c r="J126" s="37"/>
      <c r="K126" s="37"/>
      <c r="L126" s="28"/>
      <c r="M126" s="35"/>
    </row>
    <row r="127" spans="2:13" ht="12.75">
      <c r="B127" s="1" t="s">
        <v>20</v>
      </c>
      <c r="D127" s="31">
        <f>SUM(L21:L123)</f>
        <v>74326409.49999999</v>
      </c>
      <c r="E127" s="37"/>
      <c r="F127" s="37"/>
      <c r="G127" s="37"/>
      <c r="H127" s="37"/>
      <c r="I127" s="37"/>
      <c r="J127" s="37"/>
      <c r="K127" s="37"/>
      <c r="L127" s="28"/>
      <c r="M127" s="35"/>
    </row>
    <row r="128" spans="2:13" ht="12.75">
      <c r="B128" s="1" t="s">
        <v>21</v>
      </c>
      <c r="D128" s="31">
        <v>0</v>
      </c>
      <c r="E128" s="37"/>
      <c r="F128" s="37"/>
      <c r="G128" s="37"/>
      <c r="H128" s="37"/>
      <c r="I128" s="37"/>
      <c r="J128" s="37"/>
      <c r="K128" s="37"/>
      <c r="L128" s="29">
        <v>0</v>
      </c>
      <c r="M128" s="35" t="s">
        <v>132</v>
      </c>
    </row>
    <row r="129" spans="2:13" ht="12.75">
      <c r="B129" s="1" t="s">
        <v>22</v>
      </c>
      <c r="D129" s="31">
        <f>D127-D128</f>
        <v>74326409.49999999</v>
      </c>
      <c r="E129" s="37"/>
      <c r="F129" s="37"/>
      <c r="G129" s="37"/>
      <c r="H129" s="37"/>
      <c r="I129" s="37"/>
      <c r="J129" s="37"/>
      <c r="K129" s="37"/>
      <c r="L129" s="28"/>
      <c r="M129" s="35"/>
    </row>
    <row r="130" spans="2:13" ht="12.75">
      <c r="B130" s="1" t="s">
        <v>131</v>
      </c>
      <c r="D130" s="31">
        <f>SUM(J21:J123)</f>
        <v>11556052.000000006</v>
      </c>
      <c r="E130" s="37"/>
      <c r="F130" s="37"/>
      <c r="G130" s="37"/>
      <c r="H130" s="37"/>
      <c r="I130" s="37"/>
      <c r="J130" s="37"/>
      <c r="K130" s="37"/>
      <c r="L130" s="28"/>
      <c r="M130" s="35"/>
    </row>
    <row r="131" spans="4:13" ht="12.75">
      <c r="D131" s="31"/>
      <c r="E131" s="37">
        <f aca="true" t="shared" si="2" ref="E131:J131">SUM(E21:E122)</f>
        <v>4795653.41</v>
      </c>
      <c r="F131" s="37">
        <f t="shared" si="2"/>
        <v>11391926.319999998</v>
      </c>
      <c r="G131" s="37">
        <f t="shared" si="2"/>
        <v>15970771.209999997</v>
      </c>
      <c r="H131" s="37">
        <f t="shared" si="2"/>
        <v>17296554.22</v>
      </c>
      <c r="I131" s="37">
        <f t="shared" si="2"/>
        <v>13317935.770000001</v>
      </c>
      <c r="J131" s="37">
        <f t="shared" si="2"/>
        <v>11556052.000000006</v>
      </c>
      <c r="K131" s="37"/>
      <c r="L131" s="28">
        <f>SUM(E131:J131)</f>
        <v>74328892.93</v>
      </c>
      <c r="M131" s="35"/>
    </row>
    <row r="132" spans="4:13" ht="12.75">
      <c r="D132" s="31"/>
      <c r="E132" s="37"/>
      <c r="F132" s="37"/>
      <c r="G132" s="37"/>
      <c r="H132" s="37"/>
      <c r="I132" s="37"/>
      <c r="J132" s="37"/>
      <c r="K132" s="37"/>
      <c r="L132" s="28"/>
      <c r="M132" s="35"/>
    </row>
    <row r="133" spans="4:13" ht="12.75">
      <c r="D133" s="31">
        <f>SUM(D127,D15)</f>
        <v>74340047.56999998</v>
      </c>
      <c r="E133" s="37"/>
      <c r="F133" s="37"/>
      <c r="G133" s="37"/>
      <c r="H133" s="37"/>
      <c r="I133" s="37"/>
      <c r="J133" s="37">
        <f>SUM(E131:J131)</f>
        <v>74328892.93</v>
      </c>
      <c r="K133" s="37">
        <f>SUM(E22:J122)</f>
        <v>74328892.92999998</v>
      </c>
      <c r="L133" s="28"/>
      <c r="M133" s="35"/>
    </row>
    <row r="134" spans="1:13" ht="12.75">
      <c r="A134" s="1"/>
      <c r="D134" s="31"/>
      <c r="E134" s="37"/>
      <c r="F134" s="37"/>
      <c r="G134" s="37"/>
      <c r="H134" s="37"/>
      <c r="I134" s="37"/>
      <c r="J134" s="37"/>
      <c r="K134" s="37"/>
      <c r="L134" s="28"/>
      <c r="M134" s="35"/>
    </row>
    <row r="135" spans="4:13" ht="12.75">
      <c r="D135" s="31"/>
      <c r="E135" s="37"/>
      <c r="F135" s="37"/>
      <c r="G135" s="37"/>
      <c r="H135" s="37"/>
      <c r="I135" s="37"/>
      <c r="J135" s="37"/>
      <c r="K135" s="37"/>
      <c r="L135" s="28"/>
      <c r="M135" s="35"/>
    </row>
    <row r="136" spans="4:13" ht="12.75">
      <c r="D136" s="31"/>
      <c r="E136" s="37"/>
      <c r="F136" s="37"/>
      <c r="G136" s="37"/>
      <c r="H136" s="37"/>
      <c r="I136" s="37"/>
      <c r="J136" s="37"/>
      <c r="K136" s="37"/>
      <c r="L136" s="28"/>
      <c r="M136" s="35"/>
    </row>
    <row r="137" spans="4:13" ht="12.75">
      <c r="D137" s="31"/>
      <c r="E137" s="37"/>
      <c r="F137" s="37"/>
      <c r="G137" s="37"/>
      <c r="H137" s="37"/>
      <c r="I137" s="37"/>
      <c r="J137" s="37"/>
      <c r="K137" s="37"/>
      <c r="L137" s="28"/>
      <c r="M137" s="30"/>
    </row>
    <row r="138" spans="4:13" ht="12.75">
      <c r="D138" s="31"/>
      <c r="E138" s="37"/>
      <c r="F138" s="37"/>
      <c r="G138" s="37"/>
      <c r="H138" s="37"/>
      <c r="I138" s="37"/>
      <c r="J138" s="37"/>
      <c r="K138" s="37"/>
      <c r="L138" s="28"/>
      <c r="M138" s="30"/>
    </row>
    <row r="139" spans="4:13" ht="12.75">
      <c r="D139" s="31"/>
      <c r="E139" s="37"/>
      <c r="F139" s="37"/>
      <c r="G139" s="37"/>
      <c r="H139" s="37"/>
      <c r="I139" s="37"/>
      <c r="J139" s="37"/>
      <c r="K139" s="37"/>
      <c r="L139" s="28"/>
      <c r="M139" s="30"/>
    </row>
    <row r="140" spans="4:13" ht="12.75">
      <c r="D140" s="31"/>
      <c r="E140" s="37"/>
      <c r="F140" s="37"/>
      <c r="G140" s="37"/>
      <c r="H140" s="37"/>
      <c r="I140" s="37"/>
      <c r="J140" s="37"/>
      <c r="K140" s="37"/>
      <c r="L140" s="28"/>
      <c r="M140" s="35"/>
    </row>
    <row r="141" spans="4:13" ht="12.75">
      <c r="D141" s="31"/>
      <c r="E141" s="37"/>
      <c r="F141" s="37"/>
      <c r="G141" s="37"/>
      <c r="H141" s="37"/>
      <c r="I141" s="37"/>
      <c r="J141" s="37"/>
      <c r="K141" s="37"/>
      <c r="L141" s="28"/>
      <c r="M141" s="35"/>
    </row>
    <row r="142" spans="4:13" ht="12.75">
      <c r="D142" s="31"/>
      <c r="E142" s="37"/>
      <c r="F142" s="37"/>
      <c r="G142" s="37"/>
      <c r="H142" s="37"/>
      <c r="I142" s="37"/>
      <c r="J142" s="37"/>
      <c r="K142" s="37"/>
      <c r="L142" s="28"/>
      <c r="M142" s="30"/>
    </row>
    <row r="143" spans="4:13" ht="12.75">
      <c r="D143" s="31"/>
      <c r="E143" s="37"/>
      <c r="F143" s="37"/>
      <c r="G143" s="37"/>
      <c r="H143" s="37"/>
      <c r="I143" s="37"/>
      <c r="J143" s="37"/>
      <c r="K143" s="37"/>
      <c r="L143" s="28"/>
      <c r="M143" s="30"/>
    </row>
    <row r="144" spans="4:13" ht="12.75">
      <c r="D144" s="31"/>
      <c r="E144" s="37"/>
      <c r="F144" s="37"/>
      <c r="G144" s="37"/>
      <c r="H144" s="37"/>
      <c r="I144" s="37"/>
      <c r="J144" s="37"/>
      <c r="K144" s="37"/>
      <c r="L144" s="28"/>
      <c r="M144" s="35"/>
    </row>
    <row r="145" spans="4:13" ht="12.75">
      <c r="D145" s="31"/>
      <c r="E145" s="37"/>
      <c r="F145" s="37"/>
      <c r="G145" s="37"/>
      <c r="H145" s="37"/>
      <c r="I145" s="37"/>
      <c r="J145" s="37"/>
      <c r="K145" s="37"/>
      <c r="L145" s="28"/>
      <c r="M145" s="35"/>
    </row>
    <row r="146" spans="2:12" ht="12.75">
      <c r="B146" s="1"/>
      <c r="D146" s="18"/>
      <c r="E146" s="15"/>
      <c r="F146" s="15"/>
      <c r="G146" s="15"/>
      <c r="H146" s="15"/>
      <c r="I146" s="15"/>
      <c r="J146" s="15"/>
      <c r="K146" s="15"/>
      <c r="L146" s="13"/>
    </row>
    <row r="147" spans="2:11" ht="12.75">
      <c r="B147" s="1"/>
      <c r="D147" s="18"/>
      <c r="E147" s="15"/>
      <c r="F147" s="15"/>
      <c r="G147" s="15"/>
      <c r="H147" s="15"/>
      <c r="I147" s="15"/>
      <c r="J147" s="15"/>
      <c r="K147" s="15"/>
    </row>
    <row r="148" spans="2:11" ht="12.75">
      <c r="B148" s="1"/>
      <c r="D148" s="18"/>
      <c r="E148" s="15"/>
      <c r="F148" s="15"/>
      <c r="G148" s="15"/>
      <c r="H148" s="15"/>
      <c r="I148" s="15"/>
      <c r="J148" s="15"/>
      <c r="K148" s="15"/>
    </row>
    <row r="149" spans="2:11" ht="12.75">
      <c r="B149" s="1"/>
      <c r="D149" s="18"/>
      <c r="E149" s="15"/>
      <c r="F149" s="15"/>
      <c r="G149" s="15"/>
      <c r="H149" s="15"/>
      <c r="I149" s="15"/>
      <c r="J149" s="15"/>
      <c r="K149" s="15"/>
    </row>
    <row r="150" spans="5:11" ht="12.75">
      <c r="E150" s="15"/>
      <c r="F150" s="15"/>
      <c r="G150" s="15"/>
      <c r="H150" s="15"/>
      <c r="I150" s="15"/>
      <c r="J150" s="15"/>
      <c r="K150" s="15"/>
    </row>
    <row r="151" spans="5:11" ht="12.75">
      <c r="E151" s="15"/>
      <c r="F151" s="15"/>
      <c r="G151" s="15"/>
      <c r="H151" s="15"/>
      <c r="I151" s="15"/>
      <c r="J151" s="15"/>
      <c r="K151" s="15"/>
    </row>
    <row r="152" spans="1:11" ht="12.75">
      <c r="A152" s="1"/>
      <c r="B152" s="1"/>
      <c r="E152" s="15"/>
      <c r="F152" s="15"/>
      <c r="G152" s="15"/>
      <c r="H152" s="15"/>
      <c r="I152" s="15"/>
      <c r="J152" s="15"/>
      <c r="K152" s="15"/>
    </row>
    <row r="153" spans="1:11" ht="12.75">
      <c r="A153" s="1"/>
      <c r="B153" s="1"/>
      <c r="E153" s="15"/>
      <c r="F153" s="15"/>
      <c r="G153" s="15"/>
      <c r="H153" s="15"/>
      <c r="I153" s="15"/>
      <c r="J153" s="15"/>
      <c r="K153" s="15"/>
    </row>
    <row r="154" spans="5:11" ht="12.75">
      <c r="E154" s="15"/>
      <c r="F154" s="15"/>
      <c r="G154" s="15"/>
      <c r="H154" s="15"/>
      <c r="I154" s="15"/>
      <c r="J154" s="15"/>
      <c r="K154" s="15"/>
    </row>
    <row r="155" spans="5:12" ht="12.75">
      <c r="E155" s="15"/>
      <c r="F155" s="15"/>
      <c r="G155" s="15"/>
      <c r="H155" s="15"/>
      <c r="I155" s="15"/>
      <c r="J155" s="15"/>
      <c r="K155" s="15"/>
      <c r="L155" s="13"/>
    </row>
    <row r="156" spans="5:12" ht="12.75">
      <c r="E156" s="15"/>
      <c r="F156" s="15"/>
      <c r="G156" s="15"/>
      <c r="H156" s="15"/>
      <c r="I156" s="15"/>
      <c r="J156" s="15"/>
      <c r="K156" s="15"/>
      <c r="L156" s="13"/>
    </row>
    <row r="157" spans="2:12" ht="12.75">
      <c r="B157" s="1"/>
      <c r="D157" s="18"/>
      <c r="E157" s="15"/>
      <c r="F157" s="15"/>
      <c r="G157" s="15"/>
      <c r="H157" s="15"/>
      <c r="I157" s="15"/>
      <c r="J157" s="15"/>
      <c r="K157" s="15"/>
      <c r="L157" s="13"/>
    </row>
    <row r="158" spans="2:11" ht="12.75">
      <c r="B158" s="1"/>
      <c r="D158" s="18"/>
      <c r="E158" s="15"/>
      <c r="F158" s="15"/>
      <c r="G158" s="15"/>
      <c r="H158" s="15"/>
      <c r="I158" s="15"/>
      <c r="J158" s="15"/>
      <c r="K158" s="15"/>
    </row>
    <row r="159" spans="2:11" ht="12.75">
      <c r="B159" s="1"/>
      <c r="D159" s="18"/>
      <c r="E159" s="15"/>
      <c r="F159" s="15"/>
      <c r="G159" s="15"/>
      <c r="H159" s="15"/>
      <c r="I159" s="15"/>
      <c r="J159" s="15"/>
      <c r="K159" s="15"/>
    </row>
    <row r="160" spans="2:11" ht="12.75">
      <c r="B160" s="1"/>
      <c r="D160" s="18"/>
      <c r="E160" s="15"/>
      <c r="F160" s="15"/>
      <c r="G160" s="15"/>
      <c r="H160" s="15"/>
      <c r="I160" s="15"/>
      <c r="J160" s="15"/>
      <c r="K160" s="15"/>
    </row>
    <row r="161" spans="2:11" ht="12.75">
      <c r="B161" s="1"/>
      <c r="D161" s="18"/>
      <c r="E161" s="15"/>
      <c r="F161" s="15"/>
      <c r="G161" s="15"/>
      <c r="H161" s="15"/>
      <c r="I161" s="15"/>
      <c r="J161" s="15"/>
      <c r="K161" s="15"/>
    </row>
    <row r="162" spans="5:11" ht="12.75">
      <c r="E162" s="15"/>
      <c r="F162" s="15"/>
      <c r="G162" s="15"/>
      <c r="H162" s="15"/>
      <c r="I162" s="15"/>
      <c r="J162" s="15"/>
      <c r="K162" s="15"/>
    </row>
    <row r="163" spans="1:11" ht="12.75">
      <c r="A163" s="1"/>
      <c r="E163" s="15"/>
      <c r="F163" s="15"/>
      <c r="G163" s="15"/>
      <c r="H163" s="15"/>
      <c r="I163" s="15"/>
      <c r="J163" s="15"/>
      <c r="K163" s="15"/>
    </row>
    <row r="164" spans="5:11" ht="12.75">
      <c r="E164" s="15"/>
      <c r="F164" s="15"/>
      <c r="G164" s="15"/>
      <c r="H164" s="15"/>
      <c r="I164" s="15"/>
      <c r="J164" s="15"/>
      <c r="K164" s="15"/>
    </row>
    <row r="165" spans="5:12" ht="12.75">
      <c r="E165" s="15"/>
      <c r="F165" s="15"/>
      <c r="G165" s="15"/>
      <c r="H165" s="15"/>
      <c r="I165" s="20"/>
      <c r="J165" s="20"/>
      <c r="K165" s="20"/>
      <c r="L165" s="13"/>
    </row>
    <row r="166" spans="5:12" ht="12.75">
      <c r="E166" s="15"/>
      <c r="F166" s="15"/>
      <c r="G166" s="15"/>
      <c r="H166" s="15"/>
      <c r="I166" s="15"/>
      <c r="J166" s="15"/>
      <c r="K166" s="15"/>
      <c r="L166" s="13"/>
    </row>
    <row r="167" spans="5:12" ht="12.75">
      <c r="E167" s="15"/>
      <c r="F167" s="15"/>
      <c r="G167" s="15"/>
      <c r="H167" s="15"/>
      <c r="I167" s="15"/>
      <c r="J167" s="15"/>
      <c r="K167" s="15"/>
      <c r="L167" s="13"/>
    </row>
    <row r="168" spans="5:13" ht="12.75">
      <c r="E168" s="15"/>
      <c r="F168" s="15"/>
      <c r="G168" s="15"/>
      <c r="H168" s="15"/>
      <c r="I168" s="15"/>
      <c r="J168" s="15"/>
      <c r="K168" s="15"/>
      <c r="L168" s="13"/>
      <c r="M168" s="19"/>
    </row>
    <row r="169" spans="5:13" ht="12.75">
      <c r="E169" s="15"/>
      <c r="F169" s="15"/>
      <c r="G169" s="15"/>
      <c r="H169" s="15"/>
      <c r="I169" s="15"/>
      <c r="J169" s="15"/>
      <c r="K169" s="15"/>
      <c r="L169" s="13"/>
      <c r="M169" s="19"/>
    </row>
    <row r="170" spans="5:12" ht="12.75">
      <c r="E170" s="15"/>
      <c r="F170" s="15"/>
      <c r="G170" s="15"/>
      <c r="H170" s="15"/>
      <c r="I170" s="15"/>
      <c r="J170" s="15"/>
      <c r="K170" s="15"/>
      <c r="L170" s="13"/>
    </row>
    <row r="171" spans="5:12" ht="12.75">
      <c r="E171" s="15"/>
      <c r="F171" s="15"/>
      <c r="G171" s="15"/>
      <c r="H171" s="15"/>
      <c r="I171" s="15"/>
      <c r="J171" s="15"/>
      <c r="K171" s="15"/>
      <c r="L171" s="13"/>
    </row>
    <row r="172" spans="5:12" ht="12.75">
      <c r="E172" s="15"/>
      <c r="F172" s="15"/>
      <c r="G172" s="15"/>
      <c r="H172" s="15"/>
      <c r="I172" s="15"/>
      <c r="J172" s="15"/>
      <c r="K172" s="15"/>
      <c r="L172" s="13"/>
    </row>
    <row r="173" spans="5:14" ht="12.75">
      <c r="E173" s="15"/>
      <c r="F173" s="15"/>
      <c r="G173" s="15"/>
      <c r="H173" s="15"/>
      <c r="I173" s="15"/>
      <c r="J173" s="15"/>
      <c r="K173" s="15"/>
      <c r="L173" s="13"/>
      <c r="M173" s="19"/>
      <c r="N173" s="7"/>
    </row>
    <row r="174" spans="5:12" ht="12.75">
      <c r="E174" s="15"/>
      <c r="F174" s="15"/>
      <c r="G174" s="15"/>
      <c r="H174" s="15"/>
      <c r="I174" s="15"/>
      <c r="J174" s="15"/>
      <c r="K174" s="15"/>
      <c r="L174" s="13"/>
    </row>
    <row r="175" spans="5:12" ht="12.75">
      <c r="E175" s="15"/>
      <c r="F175" s="15"/>
      <c r="G175" s="15"/>
      <c r="H175" s="15"/>
      <c r="I175" s="15"/>
      <c r="J175" s="15"/>
      <c r="K175" s="15"/>
      <c r="L175" s="13"/>
    </row>
    <row r="176" spans="5:11" ht="12.75">
      <c r="E176" s="15"/>
      <c r="F176" s="15"/>
      <c r="G176" s="15"/>
      <c r="H176" s="15"/>
      <c r="I176" s="15"/>
      <c r="J176" s="15"/>
      <c r="K176" s="15"/>
    </row>
    <row r="177" spans="2:11" ht="12.75">
      <c r="B177" s="1"/>
      <c r="D177" s="18"/>
      <c r="E177" s="15"/>
      <c r="F177" s="15"/>
      <c r="G177" s="15"/>
      <c r="H177" s="15"/>
      <c r="I177" s="15"/>
      <c r="J177" s="15"/>
      <c r="K177" s="15"/>
    </row>
    <row r="178" spans="2:11" ht="12.75">
      <c r="B178" s="1"/>
      <c r="D178" s="18"/>
      <c r="E178" s="15"/>
      <c r="F178" s="15"/>
      <c r="G178" s="15"/>
      <c r="H178" s="15"/>
      <c r="I178" s="15"/>
      <c r="J178" s="15"/>
      <c r="K178" s="15"/>
    </row>
    <row r="179" spans="2:11" ht="12.75">
      <c r="B179" s="1"/>
      <c r="D179" s="18"/>
      <c r="E179" s="15"/>
      <c r="F179" s="15"/>
      <c r="G179" s="15"/>
      <c r="H179" s="15"/>
      <c r="I179" s="15"/>
      <c r="J179" s="15"/>
      <c r="K179" s="15"/>
    </row>
    <row r="180" spans="2:11" ht="12.75">
      <c r="B180" s="1"/>
      <c r="D180" s="18"/>
      <c r="E180" s="15"/>
      <c r="F180" s="15"/>
      <c r="G180" s="15"/>
      <c r="H180" s="15"/>
      <c r="I180" s="15"/>
      <c r="J180" s="15"/>
      <c r="K180" s="15"/>
    </row>
    <row r="181" spans="2:11" ht="12.75">
      <c r="B181" s="1"/>
      <c r="D181" s="18"/>
      <c r="E181" s="15"/>
      <c r="F181" s="15"/>
      <c r="G181" s="15"/>
      <c r="H181" s="15"/>
      <c r="I181" s="15"/>
      <c r="J181" s="15"/>
      <c r="K181" s="15"/>
    </row>
    <row r="182" spans="2:11" ht="12.75">
      <c r="B182" s="1"/>
      <c r="D182" s="18"/>
      <c r="E182" s="15"/>
      <c r="F182" s="15"/>
      <c r="G182" s="15"/>
      <c r="H182" s="15"/>
      <c r="I182" s="15"/>
      <c r="J182" s="15"/>
      <c r="K182" s="15"/>
    </row>
    <row r="183" spans="2:11" ht="12.75">
      <c r="B183" s="1"/>
      <c r="D183" s="18"/>
      <c r="E183" s="15"/>
      <c r="F183" s="15"/>
      <c r="G183" s="15"/>
      <c r="H183" s="15"/>
      <c r="I183" s="15"/>
      <c r="J183" s="15"/>
      <c r="K183" s="15"/>
    </row>
    <row r="184" spans="2:11" ht="12.75">
      <c r="B184" s="1"/>
      <c r="D184" s="18"/>
      <c r="E184" s="15"/>
      <c r="F184" s="15"/>
      <c r="G184" s="15"/>
      <c r="H184" s="15"/>
      <c r="I184" s="15"/>
      <c r="J184" s="15"/>
      <c r="K184" s="15"/>
    </row>
    <row r="185" spans="2:12" ht="12.75">
      <c r="B185" s="1"/>
      <c r="D185" s="18"/>
      <c r="E185" s="15"/>
      <c r="F185" s="15"/>
      <c r="G185" s="15"/>
      <c r="H185" s="15"/>
      <c r="I185" s="15"/>
      <c r="J185" s="15"/>
      <c r="K185" s="15"/>
      <c r="L185" s="13"/>
    </row>
    <row r="186" spans="2:12" ht="12.75">
      <c r="B186" s="1"/>
      <c r="E186" s="15"/>
      <c r="F186" s="15"/>
      <c r="G186" s="15"/>
      <c r="H186" s="15"/>
      <c r="I186" s="15"/>
      <c r="J186" s="15"/>
      <c r="K186" s="15"/>
      <c r="L186" s="13"/>
    </row>
    <row r="187" spans="2:11" ht="12.75">
      <c r="B187" s="1"/>
      <c r="D187" s="18"/>
      <c r="E187" s="15"/>
      <c r="F187" s="15"/>
      <c r="G187" s="15"/>
      <c r="H187" s="15"/>
      <c r="I187" s="15"/>
      <c r="J187" s="15"/>
      <c r="K187" s="15"/>
    </row>
    <row r="188" spans="2:11" ht="12.75">
      <c r="B188" s="1"/>
      <c r="D188" s="18"/>
      <c r="E188" s="15"/>
      <c r="F188" s="15"/>
      <c r="G188" s="15"/>
      <c r="H188" s="15"/>
      <c r="I188" s="15"/>
      <c r="J188" s="15"/>
      <c r="K188" s="15"/>
    </row>
    <row r="189" spans="2:11" ht="12.75">
      <c r="B189" s="1"/>
      <c r="D189" s="18"/>
      <c r="E189" s="15"/>
      <c r="F189" s="15"/>
      <c r="G189" s="15"/>
      <c r="H189" s="15"/>
      <c r="I189" s="15"/>
      <c r="J189" s="15"/>
      <c r="K189" s="15"/>
    </row>
    <row r="190" spans="2:11" ht="12.75">
      <c r="B190" s="1"/>
      <c r="D190" s="18"/>
      <c r="E190" s="15"/>
      <c r="F190" s="15"/>
      <c r="G190" s="15"/>
      <c r="H190" s="15"/>
      <c r="I190" s="15"/>
      <c r="J190" s="15"/>
      <c r="K190" s="15"/>
    </row>
    <row r="191" spans="2:11" ht="12.75">
      <c r="B191" s="1"/>
      <c r="D191" s="18"/>
      <c r="E191" s="15"/>
      <c r="F191" s="15"/>
      <c r="G191" s="15"/>
      <c r="H191" s="15"/>
      <c r="I191" s="15"/>
      <c r="J191" s="15"/>
      <c r="K191" s="15"/>
    </row>
    <row r="192" spans="2:11" ht="12.75">
      <c r="B192" s="1"/>
      <c r="D192" s="18"/>
      <c r="E192" s="15"/>
      <c r="F192" s="15"/>
      <c r="G192" s="15"/>
      <c r="H192" s="15"/>
      <c r="I192" s="15"/>
      <c r="J192" s="15"/>
      <c r="K192" s="15"/>
    </row>
    <row r="193" spans="2:12" ht="12.75">
      <c r="B193" s="1"/>
      <c r="E193" s="15"/>
      <c r="F193" s="15"/>
      <c r="G193" s="15"/>
      <c r="H193" s="15"/>
      <c r="I193" s="15"/>
      <c r="J193" s="15"/>
      <c r="K193" s="15"/>
      <c r="L193" s="13"/>
    </row>
    <row r="194" spans="1:12" ht="12.75">
      <c r="A194" s="1"/>
      <c r="B194" s="1"/>
      <c r="E194" s="15"/>
      <c r="F194" s="15"/>
      <c r="G194" s="15"/>
      <c r="H194" s="15"/>
      <c r="I194" s="15"/>
      <c r="J194" s="15"/>
      <c r="K194" s="15"/>
      <c r="L194" s="13"/>
    </row>
    <row r="195" spans="1:12" ht="12.75">
      <c r="A195" s="1"/>
      <c r="B195" s="1"/>
      <c r="E195" s="15"/>
      <c r="F195" s="15"/>
      <c r="G195" s="15"/>
      <c r="H195" s="15"/>
      <c r="I195" s="15"/>
      <c r="J195" s="15"/>
      <c r="K195" s="15"/>
      <c r="L195" s="13"/>
    </row>
    <row r="196" spans="1:12" ht="12.75">
      <c r="A196" s="1"/>
      <c r="B196" s="1"/>
      <c r="E196" s="15"/>
      <c r="F196" s="15"/>
      <c r="G196" s="15"/>
      <c r="H196" s="15"/>
      <c r="I196" s="15"/>
      <c r="J196" s="15"/>
      <c r="K196" s="15"/>
      <c r="L196" s="13"/>
    </row>
    <row r="197" spans="1:12" ht="12.75">
      <c r="A197" s="1"/>
      <c r="B197" s="1"/>
      <c r="E197" s="15"/>
      <c r="F197" s="15"/>
      <c r="G197" s="15"/>
      <c r="H197" s="15"/>
      <c r="I197" s="15"/>
      <c r="J197" s="15"/>
      <c r="K197" s="15"/>
      <c r="L197" s="13"/>
    </row>
    <row r="198" spans="1:12" ht="12.75">
      <c r="A198" s="1"/>
      <c r="B198" s="1"/>
      <c r="E198" s="15"/>
      <c r="F198" s="15"/>
      <c r="G198" s="15"/>
      <c r="H198" s="15"/>
      <c r="I198" s="15"/>
      <c r="J198" s="15"/>
      <c r="K198" s="15"/>
      <c r="L198" s="13"/>
    </row>
    <row r="199" spans="1:12" ht="12.75">
      <c r="A199" s="1"/>
      <c r="B199" s="1"/>
      <c r="E199" s="15"/>
      <c r="F199" s="15"/>
      <c r="G199" s="15"/>
      <c r="H199" s="15"/>
      <c r="I199" s="15"/>
      <c r="J199" s="15"/>
      <c r="K199" s="15"/>
      <c r="L199" s="13"/>
    </row>
    <row r="200" spans="1:12" ht="12.75">
      <c r="A200" s="1"/>
      <c r="B200" s="1"/>
      <c r="E200" s="15"/>
      <c r="F200" s="15"/>
      <c r="G200" s="15"/>
      <c r="H200" s="15"/>
      <c r="I200" s="15"/>
      <c r="J200" s="15"/>
      <c r="K200" s="15"/>
      <c r="L200" s="13"/>
    </row>
    <row r="201" spans="1:13" ht="12.75">
      <c r="A201" s="1"/>
      <c r="B201" s="1"/>
      <c r="E201" s="15"/>
      <c r="F201" s="15"/>
      <c r="G201" s="15"/>
      <c r="H201" s="15"/>
      <c r="I201" s="15"/>
      <c r="L201" s="13"/>
      <c r="M201" s="19"/>
    </row>
    <row r="202" spans="1:13" ht="12.75">
      <c r="A202" s="1"/>
      <c r="B202" s="1"/>
      <c r="E202" s="15"/>
      <c r="F202" s="15"/>
      <c r="G202" s="15"/>
      <c r="H202" s="15"/>
      <c r="I202" s="15"/>
      <c r="J202" s="15"/>
      <c r="K202" s="15"/>
      <c r="L202" s="13"/>
      <c r="M202" s="21"/>
    </row>
    <row r="203" spans="1:13" ht="12.75">
      <c r="A203" s="1"/>
      <c r="B203" s="1"/>
      <c r="E203" s="15"/>
      <c r="F203" s="15"/>
      <c r="G203" s="15"/>
      <c r="H203" s="15"/>
      <c r="I203" s="15"/>
      <c r="J203" s="15"/>
      <c r="K203" s="15"/>
      <c r="L203" s="13"/>
      <c r="M203" s="21"/>
    </row>
    <row r="204" spans="1:13" ht="12.75">
      <c r="A204" s="1"/>
      <c r="B204" s="1"/>
      <c r="E204" s="15"/>
      <c r="F204" s="15"/>
      <c r="G204" s="15"/>
      <c r="H204" s="15"/>
      <c r="I204" s="15"/>
      <c r="J204" s="15"/>
      <c r="K204" s="15"/>
      <c r="L204" s="13"/>
      <c r="M204" s="21"/>
    </row>
    <row r="205" spans="1:12" ht="12.75">
      <c r="A205" s="1"/>
      <c r="B205" s="1"/>
      <c r="E205" s="15"/>
      <c r="F205" s="15"/>
      <c r="G205" s="15"/>
      <c r="H205" s="15"/>
      <c r="I205" s="15"/>
      <c r="J205" s="15"/>
      <c r="K205" s="15"/>
      <c r="L205" s="13"/>
    </row>
    <row r="206" spans="1:12" ht="12.75">
      <c r="A206" s="1"/>
      <c r="B206" s="1"/>
      <c r="E206" s="15"/>
      <c r="F206" s="15"/>
      <c r="G206" s="15"/>
      <c r="H206" s="15"/>
      <c r="I206" s="15"/>
      <c r="J206" s="15"/>
      <c r="K206" s="15"/>
      <c r="L206" s="13"/>
    </row>
    <row r="207" spans="2:12" ht="12.75">
      <c r="B207" s="1"/>
      <c r="D207" s="17"/>
      <c r="E207" s="15"/>
      <c r="F207" s="15"/>
      <c r="G207" s="15"/>
      <c r="H207" s="15"/>
      <c r="I207" s="15"/>
      <c r="J207" s="15"/>
      <c r="K207" s="15"/>
      <c r="L207" s="13"/>
    </row>
    <row r="208" spans="2:12" ht="12.75">
      <c r="B208" s="1"/>
      <c r="D208" s="17"/>
      <c r="E208" s="15"/>
      <c r="F208" s="15"/>
      <c r="G208" s="15"/>
      <c r="H208" s="15"/>
      <c r="I208" s="15"/>
      <c r="J208" s="15"/>
      <c r="K208" s="15"/>
      <c r="L208" s="13"/>
    </row>
    <row r="209" spans="2:12" ht="12.75">
      <c r="B209" s="1"/>
      <c r="D209" s="18"/>
      <c r="E209" s="15"/>
      <c r="F209" s="15"/>
      <c r="G209" s="15"/>
      <c r="H209" s="15"/>
      <c r="I209" s="15"/>
      <c r="J209" s="15"/>
      <c r="K209" s="15"/>
      <c r="L209" s="13"/>
    </row>
    <row r="210" spans="2:12" ht="12.75">
      <c r="B210" s="1"/>
      <c r="D210" s="17"/>
      <c r="E210" s="15"/>
      <c r="F210" s="15"/>
      <c r="G210" s="15"/>
      <c r="H210" s="15"/>
      <c r="I210" s="15"/>
      <c r="J210" s="15"/>
      <c r="K210" s="15"/>
      <c r="L210" s="13"/>
    </row>
    <row r="211" spans="2:12" ht="12.75">
      <c r="B211" s="1"/>
      <c r="E211" s="15"/>
      <c r="F211" s="15"/>
      <c r="G211" s="15"/>
      <c r="H211" s="15"/>
      <c r="I211" s="15"/>
      <c r="J211" s="15"/>
      <c r="K211" s="15"/>
      <c r="L211" s="13"/>
    </row>
    <row r="212" spans="2:12" ht="12.75">
      <c r="B212" s="1"/>
      <c r="E212" s="15"/>
      <c r="F212" s="15"/>
      <c r="G212" s="15"/>
      <c r="H212" s="15"/>
      <c r="I212" s="15"/>
      <c r="J212" s="15"/>
      <c r="K212" s="15"/>
      <c r="L212" s="13"/>
    </row>
    <row r="213" spans="1:12" ht="12.75">
      <c r="A213" s="1"/>
      <c r="B213" s="1"/>
      <c r="E213" s="15"/>
      <c r="F213" s="15"/>
      <c r="G213" s="15"/>
      <c r="H213" s="15"/>
      <c r="I213" s="15"/>
      <c r="J213" s="15"/>
      <c r="K213" s="15"/>
      <c r="L213" s="13"/>
    </row>
    <row r="214" spans="2:12" ht="12.75">
      <c r="B214" s="1"/>
      <c r="E214" s="15"/>
      <c r="F214" s="15"/>
      <c r="G214" s="15"/>
      <c r="H214" s="15"/>
      <c r="I214" s="15"/>
      <c r="J214" s="15"/>
      <c r="K214" s="15"/>
      <c r="L214" s="13"/>
    </row>
    <row r="215" spans="2:12" ht="12.75">
      <c r="B215" s="1"/>
      <c r="E215" s="15"/>
      <c r="F215" s="15"/>
      <c r="G215" s="15"/>
      <c r="H215" s="15"/>
      <c r="I215" s="15"/>
      <c r="J215" s="15"/>
      <c r="K215" s="15"/>
      <c r="L215" s="13"/>
    </row>
    <row r="216" spans="2:12" ht="12.75">
      <c r="B216" s="1"/>
      <c r="E216" s="15"/>
      <c r="F216" s="15"/>
      <c r="G216" s="15"/>
      <c r="H216" s="15"/>
      <c r="I216" s="15"/>
      <c r="J216" s="15"/>
      <c r="K216" s="15"/>
      <c r="L216" s="13"/>
    </row>
    <row r="217" spans="2:12" ht="12.75">
      <c r="B217" s="1"/>
      <c r="E217" s="15"/>
      <c r="F217" s="15"/>
      <c r="G217" s="15"/>
      <c r="H217" s="15"/>
      <c r="I217" s="15"/>
      <c r="J217" s="15"/>
      <c r="K217" s="15"/>
      <c r="L217" s="13"/>
    </row>
    <row r="218" spans="2:12" ht="12.75">
      <c r="B218" s="1"/>
      <c r="E218" s="15"/>
      <c r="F218" s="15"/>
      <c r="G218" s="15"/>
      <c r="H218" s="15"/>
      <c r="I218" s="15"/>
      <c r="J218" s="15"/>
      <c r="K218" s="15"/>
      <c r="L218" s="13"/>
    </row>
    <row r="219" spans="2:12" ht="12.75">
      <c r="B219" s="1"/>
      <c r="E219" s="15"/>
      <c r="F219" s="15"/>
      <c r="G219" s="15"/>
      <c r="H219" s="15"/>
      <c r="I219" s="15"/>
      <c r="J219" s="15"/>
      <c r="K219" s="15"/>
      <c r="L219" s="13"/>
    </row>
    <row r="220" spans="2:12" ht="12.75">
      <c r="B220" s="1"/>
      <c r="E220" s="15"/>
      <c r="F220" s="15"/>
      <c r="G220" s="15"/>
      <c r="H220" s="15"/>
      <c r="I220" s="15"/>
      <c r="J220" s="15"/>
      <c r="K220" s="15"/>
      <c r="L220" s="13"/>
    </row>
    <row r="221" spans="2:12" ht="12.75">
      <c r="B221" s="1"/>
      <c r="E221" s="15"/>
      <c r="F221" s="15"/>
      <c r="G221" s="15"/>
      <c r="H221" s="15"/>
      <c r="I221" s="15"/>
      <c r="J221" s="15"/>
      <c r="K221" s="15"/>
      <c r="L221" s="13"/>
    </row>
    <row r="222" spans="2:12" ht="12.75">
      <c r="B222" s="1"/>
      <c r="E222" s="15"/>
      <c r="F222" s="15"/>
      <c r="G222" s="15"/>
      <c r="H222" s="15"/>
      <c r="I222" s="15"/>
      <c r="J222" s="15"/>
      <c r="K222" s="15"/>
      <c r="L222" s="13"/>
    </row>
    <row r="223" spans="2:12" ht="12.75">
      <c r="B223" s="1"/>
      <c r="E223" s="15"/>
      <c r="F223" s="15"/>
      <c r="G223" s="15"/>
      <c r="H223" s="15"/>
      <c r="I223" s="15"/>
      <c r="J223" s="15"/>
      <c r="K223" s="15"/>
      <c r="L223" s="13"/>
    </row>
    <row r="224" spans="2:12" ht="12.75">
      <c r="B224" s="1"/>
      <c r="E224" s="15"/>
      <c r="F224" s="15"/>
      <c r="G224" s="15"/>
      <c r="H224" s="15"/>
      <c r="I224" s="15"/>
      <c r="J224" s="15"/>
      <c r="K224" s="15"/>
      <c r="L224" s="13"/>
    </row>
    <row r="225" spans="2:12" ht="12.75">
      <c r="B225" s="1"/>
      <c r="D225" s="18"/>
      <c r="E225" s="15"/>
      <c r="F225" s="15"/>
      <c r="G225" s="15"/>
      <c r="H225" s="15"/>
      <c r="I225" s="15"/>
      <c r="J225" s="15"/>
      <c r="K225" s="15"/>
      <c r="L225" s="13"/>
    </row>
    <row r="226" spans="2:12" ht="12.75">
      <c r="B226" s="1"/>
      <c r="D226" s="17"/>
      <c r="E226" s="15"/>
      <c r="F226" s="15"/>
      <c r="G226" s="15"/>
      <c r="H226" s="15"/>
      <c r="I226" s="15"/>
      <c r="J226" s="15"/>
      <c r="K226" s="15"/>
      <c r="L226" s="13"/>
    </row>
    <row r="227" spans="2:12" ht="12.75">
      <c r="B227" s="1"/>
      <c r="D227" s="17"/>
      <c r="E227" s="15"/>
      <c r="F227" s="15"/>
      <c r="G227" s="15"/>
      <c r="H227" s="15"/>
      <c r="I227" s="15"/>
      <c r="J227" s="15"/>
      <c r="K227" s="15"/>
      <c r="L227" s="13"/>
    </row>
    <row r="228" spans="2:12" ht="12.75">
      <c r="B228" s="1"/>
      <c r="D228" s="18"/>
      <c r="E228" s="15"/>
      <c r="F228" s="15"/>
      <c r="G228" s="15"/>
      <c r="H228" s="15"/>
      <c r="I228" s="15"/>
      <c r="J228" s="15"/>
      <c r="K228" s="15"/>
      <c r="L228" s="13"/>
    </row>
    <row r="229" spans="2:12" ht="12.75">
      <c r="B229" s="1"/>
      <c r="E229" s="15"/>
      <c r="F229" s="15"/>
      <c r="G229" s="15"/>
      <c r="H229" s="15"/>
      <c r="I229" s="15"/>
      <c r="J229" s="15"/>
      <c r="K229" s="15"/>
      <c r="L229" s="13"/>
    </row>
    <row r="230" spans="2:12" ht="12.75">
      <c r="B230" s="1"/>
      <c r="E230" s="15"/>
      <c r="F230" s="15"/>
      <c r="G230" s="15"/>
      <c r="H230" s="15"/>
      <c r="I230" s="15"/>
      <c r="J230" s="15"/>
      <c r="K230" s="15"/>
      <c r="L230" s="13"/>
    </row>
    <row r="231" spans="1:11" ht="12.75">
      <c r="A231" s="1"/>
      <c r="E231" s="15"/>
      <c r="F231" s="15"/>
      <c r="G231" s="15"/>
      <c r="H231" s="15"/>
      <c r="I231" s="15"/>
      <c r="J231" s="15"/>
      <c r="K231" s="15"/>
    </row>
    <row r="232" spans="5:11" ht="12.75">
      <c r="E232" s="15"/>
      <c r="F232" s="15"/>
      <c r="G232" s="15"/>
      <c r="H232" s="15"/>
      <c r="I232" s="15"/>
      <c r="J232" s="15"/>
      <c r="K232" s="15"/>
    </row>
    <row r="233" spans="5:12" ht="12.75">
      <c r="E233" s="15"/>
      <c r="F233" s="15"/>
      <c r="G233" s="15"/>
      <c r="H233" s="15"/>
      <c r="I233" s="15"/>
      <c r="J233" s="15"/>
      <c r="K233" s="15"/>
      <c r="L233" s="13"/>
    </row>
    <row r="234" spans="5:12" ht="12.75">
      <c r="E234" s="15"/>
      <c r="F234" s="15"/>
      <c r="G234" s="15"/>
      <c r="H234" s="15"/>
      <c r="I234" s="15"/>
      <c r="J234" s="15"/>
      <c r="K234" s="15"/>
      <c r="L234" s="13"/>
    </row>
    <row r="235" spans="5:11" ht="12.75">
      <c r="E235" s="15"/>
      <c r="F235" s="15"/>
      <c r="G235" s="15"/>
      <c r="H235" s="15"/>
      <c r="I235" s="15"/>
      <c r="J235" s="15"/>
      <c r="K235" s="15"/>
    </row>
    <row r="236" spans="2:11" ht="12.75">
      <c r="B236" s="1"/>
      <c r="D236" s="18"/>
      <c r="E236" s="15"/>
      <c r="F236" s="15"/>
      <c r="G236" s="15"/>
      <c r="H236" s="15"/>
      <c r="I236" s="15"/>
      <c r="J236" s="15"/>
      <c r="K236" s="15"/>
    </row>
    <row r="237" spans="2:11" ht="12.75">
      <c r="B237" s="1"/>
      <c r="D237" s="18"/>
      <c r="E237" s="15"/>
      <c r="F237" s="15"/>
      <c r="G237" s="15"/>
      <c r="H237" s="15"/>
      <c r="I237" s="15"/>
      <c r="J237" s="15"/>
      <c r="K237" s="15"/>
    </row>
    <row r="238" spans="2:11" ht="12.75">
      <c r="B238" s="1"/>
      <c r="D238" s="18"/>
      <c r="E238" s="15"/>
      <c r="F238" s="15"/>
      <c r="G238" s="15"/>
      <c r="H238" s="15"/>
      <c r="I238" s="15"/>
      <c r="J238" s="15"/>
      <c r="K238" s="15"/>
    </row>
    <row r="239" spans="2:11" ht="12.75">
      <c r="B239" s="1"/>
      <c r="D239" s="18"/>
      <c r="E239" s="15"/>
      <c r="F239" s="15"/>
      <c r="G239" s="15"/>
      <c r="H239" s="15"/>
      <c r="I239" s="15"/>
      <c r="J239" s="15"/>
      <c r="K239" s="15"/>
    </row>
    <row r="240" spans="5:11" ht="12.75">
      <c r="E240" s="15"/>
      <c r="F240" s="15"/>
      <c r="G240" s="15"/>
      <c r="H240" s="15"/>
      <c r="I240" s="15"/>
      <c r="J240" s="15"/>
      <c r="K240" s="15"/>
    </row>
    <row r="241" spans="5:11" ht="12.75">
      <c r="E241" s="15"/>
      <c r="F241" s="15"/>
      <c r="G241" s="15"/>
      <c r="H241" s="15"/>
      <c r="I241" s="15"/>
      <c r="J241" s="15"/>
      <c r="K241" s="15"/>
    </row>
    <row r="242" spans="1:11" ht="12.75">
      <c r="A242" s="1"/>
      <c r="E242" s="15"/>
      <c r="F242" s="15"/>
      <c r="G242" s="15"/>
      <c r="H242" s="15"/>
      <c r="I242" s="15"/>
      <c r="J242" s="15"/>
      <c r="K242" s="15"/>
    </row>
    <row r="243" spans="1:11" ht="12.75">
      <c r="A243" s="22"/>
      <c r="B243" s="22"/>
      <c r="C243" s="22"/>
      <c r="D243" s="22"/>
      <c r="E243" s="23"/>
      <c r="F243" s="15"/>
      <c r="G243" s="15"/>
      <c r="H243" s="15"/>
      <c r="I243" s="15"/>
      <c r="J243" s="15"/>
      <c r="K243" s="15"/>
    </row>
    <row r="244" spans="1:11" ht="12.75">
      <c r="A244" s="22"/>
      <c r="B244" s="22"/>
      <c r="C244" s="22"/>
      <c r="D244" s="22"/>
      <c r="E244" s="23"/>
      <c r="F244" s="15"/>
      <c r="G244" s="15"/>
      <c r="H244" s="15"/>
      <c r="I244" s="15"/>
      <c r="J244" s="15"/>
      <c r="K244" s="15"/>
    </row>
    <row r="245" spans="5:11" ht="12.75">
      <c r="E245" s="15"/>
      <c r="F245" s="15"/>
      <c r="G245" s="15"/>
      <c r="H245" s="15"/>
      <c r="I245" s="15"/>
      <c r="J245" s="15"/>
      <c r="K245" s="15"/>
    </row>
    <row r="246" spans="5:11" ht="12.75">
      <c r="E246" s="15"/>
      <c r="F246" s="15"/>
      <c r="G246" s="15"/>
      <c r="H246" s="15"/>
      <c r="I246" s="15"/>
      <c r="J246" s="15"/>
      <c r="K246" s="15"/>
    </row>
    <row r="247" spans="5:11" ht="12.75">
      <c r="E247" s="15"/>
      <c r="F247" s="15"/>
      <c r="G247" s="15"/>
      <c r="H247" s="15"/>
      <c r="I247" s="15"/>
      <c r="J247" s="15"/>
      <c r="K247" s="15"/>
    </row>
    <row r="248" spans="5:11" ht="12.75">
      <c r="E248" s="15"/>
      <c r="F248" s="15"/>
      <c r="G248" s="15"/>
      <c r="H248" s="15"/>
      <c r="I248" s="15"/>
      <c r="J248" s="15"/>
      <c r="K248" s="15"/>
    </row>
    <row r="249" spans="5:11" ht="12.75">
      <c r="E249" s="15"/>
      <c r="F249" s="15"/>
      <c r="G249" s="15"/>
      <c r="H249" s="15"/>
      <c r="I249" s="15"/>
      <c r="J249" s="15"/>
      <c r="K249" s="15"/>
    </row>
    <row r="250" spans="5:11" ht="12.75">
      <c r="E250" s="15"/>
      <c r="F250" s="15"/>
      <c r="G250" s="15"/>
      <c r="H250" s="15"/>
      <c r="I250" s="15"/>
      <c r="J250" s="15"/>
      <c r="K250" s="15"/>
    </row>
    <row r="251" spans="5:11" ht="12.75">
      <c r="E251" s="15"/>
      <c r="F251" s="15"/>
      <c r="G251" s="15"/>
      <c r="H251" s="15"/>
      <c r="I251" s="15"/>
      <c r="J251" s="15"/>
      <c r="K251" s="15"/>
    </row>
    <row r="252" spans="5:11" ht="12.75">
      <c r="E252" s="15"/>
      <c r="F252" s="15"/>
      <c r="G252" s="15"/>
      <c r="H252" s="15"/>
      <c r="I252" s="15"/>
      <c r="J252" s="15"/>
      <c r="K252" s="15"/>
    </row>
    <row r="253" spans="5:11" ht="12.75">
      <c r="E253" s="15"/>
      <c r="F253" s="15"/>
      <c r="G253" s="15"/>
      <c r="H253" s="15"/>
      <c r="I253" s="15"/>
      <c r="J253" s="15"/>
      <c r="K253" s="15"/>
    </row>
    <row r="254" spans="5:11" ht="12.75">
      <c r="E254" s="15"/>
      <c r="F254" s="15"/>
      <c r="G254" s="15"/>
      <c r="H254" s="15"/>
      <c r="I254" s="15"/>
      <c r="J254" s="15"/>
      <c r="K254" s="15"/>
    </row>
    <row r="255" spans="5:11" ht="12.75">
      <c r="E255" s="15"/>
      <c r="F255" s="15"/>
      <c r="G255" s="15"/>
      <c r="H255" s="15"/>
      <c r="I255" s="15"/>
      <c r="J255" s="15"/>
      <c r="K255" s="15"/>
    </row>
    <row r="256" spans="5:11" ht="12.75">
      <c r="E256" s="15"/>
      <c r="F256" s="15"/>
      <c r="G256" s="15"/>
      <c r="H256" s="15"/>
      <c r="I256" s="15"/>
      <c r="J256" s="15"/>
      <c r="K256" s="15"/>
    </row>
    <row r="257" spans="5:11" ht="12.75">
      <c r="E257" s="15"/>
      <c r="F257" s="15"/>
      <c r="G257" s="15"/>
      <c r="H257" s="15"/>
      <c r="I257" s="15"/>
      <c r="J257" s="15"/>
      <c r="K257" s="15"/>
    </row>
    <row r="258" spans="5:11" ht="12.75">
      <c r="E258" s="15"/>
      <c r="F258" s="15"/>
      <c r="G258" s="15"/>
      <c r="H258" s="15"/>
      <c r="I258" s="15"/>
      <c r="J258" s="15"/>
      <c r="K258" s="15"/>
    </row>
    <row r="259" spans="5:11" ht="12.75">
      <c r="E259" s="15"/>
      <c r="F259" s="15"/>
      <c r="G259" s="15"/>
      <c r="H259" s="15"/>
      <c r="I259" s="15"/>
      <c r="J259" s="15"/>
      <c r="K259" s="15"/>
    </row>
    <row r="260" spans="5:11" ht="12.75">
      <c r="E260" s="15"/>
      <c r="F260" s="15"/>
      <c r="G260" s="15"/>
      <c r="H260" s="15"/>
      <c r="I260" s="15"/>
      <c r="J260" s="15"/>
      <c r="K260" s="15"/>
    </row>
    <row r="261" spans="5:11" ht="12.75">
      <c r="E261" s="15"/>
      <c r="F261" s="15"/>
      <c r="G261" s="15"/>
      <c r="H261" s="15"/>
      <c r="I261" s="15"/>
      <c r="J261" s="15"/>
      <c r="K261" s="15"/>
    </row>
    <row r="262" spans="5:11" ht="12.75">
      <c r="E262" s="15"/>
      <c r="F262" s="15"/>
      <c r="G262" s="15"/>
      <c r="H262" s="15"/>
      <c r="I262" s="15"/>
      <c r="J262" s="15"/>
      <c r="K262" s="15"/>
    </row>
    <row r="263" spans="5:11" ht="12.75">
      <c r="E263" s="15"/>
      <c r="F263" s="15"/>
      <c r="G263" s="15"/>
      <c r="H263" s="15"/>
      <c r="I263" s="15"/>
      <c r="J263" s="15"/>
      <c r="K263" s="15"/>
    </row>
    <row r="264" spans="5:11" ht="12.75">
      <c r="E264" s="15"/>
      <c r="F264" s="15"/>
      <c r="G264" s="15"/>
      <c r="H264" s="15"/>
      <c r="I264" s="15"/>
      <c r="J264" s="15"/>
      <c r="K264" s="15"/>
    </row>
    <row r="265" spans="5:11" ht="12.75">
      <c r="E265" s="15"/>
      <c r="F265" s="15"/>
      <c r="G265" s="15"/>
      <c r="H265" s="15"/>
      <c r="I265" s="15"/>
      <c r="J265" s="15"/>
      <c r="K265" s="15"/>
    </row>
    <row r="266" spans="5:11" ht="12.75">
      <c r="E266" s="15"/>
      <c r="F266" s="15"/>
      <c r="G266" s="15"/>
      <c r="H266" s="15"/>
      <c r="I266" s="15"/>
      <c r="J266" s="15"/>
      <c r="K266" s="15"/>
    </row>
    <row r="267" spans="5:11" ht="12.75">
      <c r="E267" s="15"/>
      <c r="F267" s="15"/>
      <c r="G267" s="15"/>
      <c r="H267" s="15"/>
      <c r="I267" s="15"/>
      <c r="J267" s="15"/>
      <c r="K267" s="15"/>
    </row>
    <row r="268" spans="5:11" ht="12.75">
      <c r="E268" s="15"/>
      <c r="F268" s="15"/>
      <c r="G268" s="15"/>
      <c r="H268" s="15"/>
      <c r="I268" s="15"/>
      <c r="J268" s="15"/>
      <c r="K268" s="15"/>
    </row>
    <row r="269" spans="5:11" ht="12.75">
      <c r="E269" s="15"/>
      <c r="F269" s="15"/>
      <c r="G269" s="15"/>
      <c r="H269" s="15"/>
      <c r="I269" s="15"/>
      <c r="J269" s="15"/>
      <c r="K269" s="15"/>
    </row>
    <row r="270" spans="5:11" ht="12.75">
      <c r="E270" s="15"/>
      <c r="F270" s="15"/>
      <c r="G270" s="15"/>
      <c r="H270" s="15"/>
      <c r="I270" s="15"/>
      <c r="J270" s="15"/>
      <c r="K270" s="15"/>
    </row>
    <row r="271" spans="5:11" ht="12.75">
      <c r="E271" s="15"/>
      <c r="F271" s="15"/>
      <c r="G271" s="15"/>
      <c r="H271" s="15"/>
      <c r="I271" s="15"/>
      <c r="J271" s="15"/>
      <c r="K271" s="15"/>
    </row>
    <row r="272" spans="5:11" ht="12.75">
      <c r="E272" s="15"/>
      <c r="F272" s="15"/>
      <c r="G272" s="15"/>
      <c r="H272" s="15"/>
      <c r="I272" s="15"/>
      <c r="J272" s="15"/>
      <c r="K272" s="15"/>
    </row>
    <row r="273" spans="5:11" ht="12.75">
      <c r="E273" s="15"/>
      <c r="F273" s="15"/>
      <c r="G273" s="15"/>
      <c r="H273" s="15"/>
      <c r="I273" s="15"/>
      <c r="J273" s="15"/>
      <c r="K273" s="15"/>
    </row>
    <row r="274" spans="5:11" ht="12.75">
      <c r="E274" s="15"/>
      <c r="F274" s="15"/>
      <c r="G274" s="15"/>
      <c r="H274" s="15"/>
      <c r="I274" s="15"/>
      <c r="J274" s="15"/>
      <c r="K274" s="15"/>
    </row>
    <row r="275" spans="5:11" ht="12.75">
      <c r="E275" s="15"/>
      <c r="F275" s="15"/>
      <c r="G275" s="15"/>
      <c r="H275" s="15"/>
      <c r="I275" s="15"/>
      <c r="J275" s="15"/>
      <c r="K275" s="15"/>
    </row>
    <row r="276" spans="5:11" ht="12.75">
      <c r="E276" s="15"/>
      <c r="F276" s="15"/>
      <c r="G276" s="15"/>
      <c r="H276" s="15"/>
      <c r="I276" s="15"/>
      <c r="J276" s="15"/>
      <c r="K276" s="15"/>
    </row>
    <row r="277" spans="5:11" ht="12.75">
      <c r="E277" s="15"/>
      <c r="F277" s="15"/>
      <c r="G277" s="15"/>
      <c r="H277" s="15"/>
      <c r="I277" s="15"/>
      <c r="J277" s="15"/>
      <c r="K277" s="15"/>
    </row>
    <row r="278" spans="5:11" ht="12.75">
      <c r="E278" s="15"/>
      <c r="F278" s="15"/>
      <c r="G278" s="15"/>
      <c r="H278" s="15"/>
      <c r="I278" s="15"/>
      <c r="J278" s="15"/>
      <c r="K278" s="15"/>
    </row>
    <row r="279" spans="5:11" ht="12.75">
      <c r="E279" s="15"/>
      <c r="F279" s="15"/>
      <c r="G279" s="15"/>
      <c r="H279" s="15"/>
      <c r="I279" s="15"/>
      <c r="J279" s="15"/>
      <c r="K279" s="15"/>
    </row>
    <row r="280" spans="5:11" ht="12.75">
      <c r="E280" s="15"/>
      <c r="F280" s="15"/>
      <c r="G280" s="15"/>
      <c r="H280" s="15"/>
      <c r="I280" s="15"/>
      <c r="J280" s="15"/>
      <c r="K280" s="15"/>
    </row>
    <row r="281" spans="5:11" ht="12.75">
      <c r="E281" s="15"/>
      <c r="F281" s="15"/>
      <c r="G281" s="15"/>
      <c r="H281" s="15"/>
      <c r="I281" s="15"/>
      <c r="J281" s="15"/>
      <c r="K281" s="15"/>
    </row>
    <row r="282" spans="5:11" ht="12.75">
      <c r="E282" s="15"/>
      <c r="F282" s="15"/>
      <c r="G282" s="15"/>
      <c r="H282" s="15"/>
      <c r="I282" s="15"/>
      <c r="J282" s="15"/>
      <c r="K282" s="15"/>
    </row>
    <row r="283" spans="5:11" ht="12.75">
      <c r="E283" s="15"/>
      <c r="F283" s="15"/>
      <c r="G283" s="15"/>
      <c r="H283" s="15"/>
      <c r="I283" s="15"/>
      <c r="J283" s="15"/>
      <c r="K283" s="15"/>
    </row>
    <row r="284" spans="5:11" ht="12.75">
      <c r="E284" s="15"/>
      <c r="F284" s="15"/>
      <c r="G284" s="15"/>
      <c r="H284" s="15"/>
      <c r="I284" s="15"/>
      <c r="J284" s="15"/>
      <c r="K284" s="15"/>
    </row>
    <row r="285" spans="5:11" ht="12.75">
      <c r="E285" s="15"/>
      <c r="F285" s="15"/>
      <c r="G285" s="15"/>
      <c r="H285" s="15"/>
      <c r="I285" s="15"/>
      <c r="J285" s="15"/>
      <c r="K285" s="15"/>
    </row>
    <row r="286" spans="5:11" ht="12.75">
      <c r="E286" s="15"/>
      <c r="F286" s="15"/>
      <c r="G286" s="15"/>
      <c r="H286" s="15"/>
      <c r="I286" s="15"/>
      <c r="J286" s="15"/>
      <c r="K286" s="15"/>
    </row>
    <row r="287" spans="5:11" ht="12.75">
      <c r="E287" s="15"/>
      <c r="F287" s="15"/>
      <c r="G287" s="15"/>
      <c r="H287" s="15"/>
      <c r="I287" s="15"/>
      <c r="J287" s="15"/>
      <c r="K287" s="15"/>
    </row>
    <row r="288" spans="5:11" ht="12.75">
      <c r="E288" s="15"/>
      <c r="F288" s="15"/>
      <c r="G288" s="15"/>
      <c r="H288" s="15"/>
      <c r="I288" s="15"/>
      <c r="J288" s="15"/>
      <c r="K288" s="15"/>
    </row>
    <row r="289" spans="5:11" ht="12.75">
      <c r="E289" s="15"/>
      <c r="F289" s="15"/>
      <c r="G289" s="15"/>
      <c r="H289" s="15"/>
      <c r="I289" s="15"/>
      <c r="J289" s="15"/>
      <c r="K289" s="15"/>
    </row>
    <row r="290" spans="5:11" ht="12.75">
      <c r="E290" s="15"/>
      <c r="F290" s="15"/>
      <c r="G290" s="15"/>
      <c r="H290" s="15"/>
      <c r="I290" s="15"/>
      <c r="J290" s="15"/>
      <c r="K290" s="15"/>
    </row>
    <row r="291" spans="5:11" ht="12.75">
      <c r="E291" s="15"/>
      <c r="F291" s="15"/>
      <c r="G291" s="15"/>
      <c r="H291" s="15"/>
      <c r="I291" s="15"/>
      <c r="J291" s="15"/>
      <c r="K291" s="15"/>
    </row>
    <row r="292" spans="5:11" ht="12.75">
      <c r="E292" s="15"/>
      <c r="F292" s="15"/>
      <c r="G292" s="15"/>
      <c r="H292" s="15"/>
      <c r="I292" s="15"/>
      <c r="J292" s="15"/>
      <c r="K292" s="15"/>
    </row>
    <row r="293" spans="5:11" ht="12.75">
      <c r="E293" s="15"/>
      <c r="F293" s="15"/>
      <c r="G293" s="15"/>
      <c r="H293" s="15"/>
      <c r="I293" s="15"/>
      <c r="J293" s="15"/>
      <c r="K293" s="15"/>
    </row>
    <row r="294" spans="5:11" ht="12.75">
      <c r="E294" s="15"/>
      <c r="F294" s="15"/>
      <c r="G294" s="15"/>
      <c r="H294" s="15"/>
      <c r="I294" s="15"/>
      <c r="J294" s="15"/>
      <c r="K294" s="15"/>
    </row>
    <row r="295" spans="5:11" ht="12.75">
      <c r="E295" s="15"/>
      <c r="F295" s="15"/>
      <c r="G295" s="15"/>
      <c r="H295" s="15"/>
      <c r="I295" s="15"/>
      <c r="J295" s="15"/>
      <c r="K295" s="15"/>
    </row>
    <row r="296" spans="5:11" ht="12.75">
      <c r="E296" s="15"/>
      <c r="F296" s="15"/>
      <c r="G296" s="15"/>
      <c r="H296" s="15"/>
      <c r="I296" s="15"/>
      <c r="J296" s="15"/>
      <c r="K296" s="15"/>
    </row>
    <row r="297" spans="5:11" ht="12.75">
      <c r="E297" s="15"/>
      <c r="F297" s="15"/>
      <c r="G297" s="15"/>
      <c r="H297" s="15"/>
      <c r="I297" s="15"/>
      <c r="J297" s="15"/>
      <c r="K297" s="15"/>
    </row>
    <row r="298" spans="5:11" ht="12.75">
      <c r="E298" s="15"/>
      <c r="F298" s="15"/>
      <c r="G298" s="15"/>
      <c r="H298" s="15"/>
      <c r="I298" s="15"/>
      <c r="J298" s="15"/>
      <c r="K298" s="15"/>
    </row>
    <row r="299" spans="5:11" ht="12.75">
      <c r="E299" s="15"/>
      <c r="F299" s="15"/>
      <c r="G299" s="15"/>
      <c r="H299" s="15"/>
      <c r="I299" s="15"/>
      <c r="J299" s="15"/>
      <c r="K299" s="15"/>
    </row>
    <row r="300" spans="5:11" ht="12.75">
      <c r="E300" s="15"/>
      <c r="F300" s="15"/>
      <c r="G300" s="15"/>
      <c r="H300" s="15"/>
      <c r="I300" s="15"/>
      <c r="J300" s="15"/>
      <c r="K300" s="15"/>
    </row>
    <row r="301" spans="5:11" ht="12.75">
      <c r="E301" s="15"/>
      <c r="F301" s="15"/>
      <c r="G301" s="15"/>
      <c r="H301" s="15"/>
      <c r="I301" s="15"/>
      <c r="J301" s="15"/>
      <c r="K301" s="15"/>
    </row>
    <row r="302" spans="5:11" ht="12.75">
      <c r="E302" s="15"/>
      <c r="F302" s="15"/>
      <c r="G302" s="15"/>
      <c r="H302" s="15"/>
      <c r="I302" s="15"/>
      <c r="J302" s="15"/>
      <c r="K302" s="15"/>
    </row>
    <row r="303" spans="5:11" ht="12.75">
      <c r="E303" s="15"/>
      <c r="F303" s="15"/>
      <c r="G303" s="15"/>
      <c r="H303" s="15"/>
      <c r="I303" s="15"/>
      <c r="J303" s="15"/>
      <c r="K303" s="15"/>
    </row>
    <row r="304" spans="5:11" ht="12.75">
      <c r="E304" s="15"/>
      <c r="F304" s="15"/>
      <c r="G304" s="15"/>
      <c r="H304" s="15"/>
      <c r="I304" s="15"/>
      <c r="J304" s="15"/>
      <c r="K304" s="15"/>
    </row>
    <row r="305" spans="5:11" ht="12.75">
      <c r="E305" s="15"/>
      <c r="F305" s="15"/>
      <c r="G305" s="15"/>
      <c r="H305" s="15"/>
      <c r="I305" s="15"/>
      <c r="J305" s="15"/>
      <c r="K305" s="15"/>
    </row>
    <row r="306" spans="5:11" ht="12.75">
      <c r="E306" s="15"/>
      <c r="F306" s="15"/>
      <c r="G306" s="15"/>
      <c r="H306" s="15"/>
      <c r="I306" s="15"/>
      <c r="J306" s="15"/>
      <c r="K306" s="15"/>
    </row>
    <row r="307" spans="5:11" ht="12.75">
      <c r="E307" s="15"/>
      <c r="F307" s="15"/>
      <c r="G307" s="15"/>
      <c r="H307" s="15"/>
      <c r="I307" s="15"/>
      <c r="J307" s="15"/>
      <c r="K307" s="15"/>
    </row>
    <row r="308" spans="5:11" ht="12.75">
      <c r="E308" s="15"/>
      <c r="F308" s="15"/>
      <c r="G308" s="15"/>
      <c r="H308" s="15"/>
      <c r="I308" s="15"/>
      <c r="J308" s="15"/>
      <c r="K308" s="15"/>
    </row>
    <row r="309" spans="5:11" ht="12.75">
      <c r="E309" s="15"/>
      <c r="F309" s="15"/>
      <c r="G309" s="15"/>
      <c r="H309" s="15"/>
      <c r="I309" s="15"/>
      <c r="J309" s="15"/>
      <c r="K309" s="15"/>
    </row>
    <row r="310" spans="5:11" ht="12.75">
      <c r="E310" s="15"/>
      <c r="F310" s="15"/>
      <c r="G310" s="15"/>
      <c r="H310" s="15"/>
      <c r="I310" s="15"/>
      <c r="J310" s="15"/>
      <c r="K310" s="15"/>
    </row>
    <row r="311" spans="5:11" ht="12.75">
      <c r="E311" s="15"/>
      <c r="F311" s="15"/>
      <c r="G311" s="15"/>
      <c r="H311" s="15"/>
      <c r="I311" s="15"/>
      <c r="J311" s="15"/>
      <c r="K311" s="15"/>
    </row>
    <row r="312" spans="5:11" ht="12.75">
      <c r="E312" s="15"/>
      <c r="F312" s="15"/>
      <c r="G312" s="15"/>
      <c r="H312" s="15"/>
      <c r="I312" s="15"/>
      <c r="J312" s="15"/>
      <c r="K312" s="15"/>
    </row>
    <row r="313" spans="5:11" ht="12.75">
      <c r="E313" s="15"/>
      <c r="F313" s="15"/>
      <c r="G313" s="15"/>
      <c r="H313" s="15"/>
      <c r="I313" s="15"/>
      <c r="J313" s="15"/>
      <c r="K313" s="15"/>
    </row>
    <row r="314" spans="5:11" ht="12.75">
      <c r="E314" s="15"/>
      <c r="F314" s="15"/>
      <c r="G314" s="15"/>
      <c r="H314" s="15"/>
      <c r="I314" s="15"/>
      <c r="J314" s="15"/>
      <c r="K314" s="15"/>
    </row>
    <row r="315" spans="5:11" ht="12.75">
      <c r="E315" s="15"/>
      <c r="F315" s="15"/>
      <c r="G315" s="15"/>
      <c r="H315" s="15"/>
      <c r="I315" s="15"/>
      <c r="J315" s="15"/>
      <c r="K315" s="15"/>
    </row>
    <row r="316" spans="5:11" ht="12.75">
      <c r="E316" s="15"/>
      <c r="F316" s="15"/>
      <c r="G316" s="15"/>
      <c r="H316" s="15"/>
      <c r="I316" s="15"/>
      <c r="J316" s="15"/>
      <c r="K316" s="15"/>
    </row>
    <row r="317" spans="5:11" ht="12.75">
      <c r="E317" s="15"/>
      <c r="F317" s="15"/>
      <c r="G317" s="15"/>
      <c r="H317" s="15"/>
      <c r="I317" s="15"/>
      <c r="J317" s="15"/>
      <c r="K317" s="15"/>
    </row>
    <row r="318" spans="5:11" ht="12.75">
      <c r="E318" s="15"/>
      <c r="F318" s="15"/>
      <c r="G318" s="15"/>
      <c r="H318" s="15"/>
      <c r="I318" s="15"/>
      <c r="J318" s="15"/>
      <c r="K318" s="15"/>
    </row>
    <row r="319" spans="5:11" ht="12.75">
      <c r="E319" s="15"/>
      <c r="F319" s="15"/>
      <c r="G319" s="15"/>
      <c r="H319" s="15"/>
      <c r="I319" s="15"/>
      <c r="J319" s="15"/>
      <c r="K319" s="15"/>
    </row>
    <row r="320" spans="5:11" ht="12.75">
      <c r="E320" s="15"/>
      <c r="F320" s="15"/>
      <c r="G320" s="15"/>
      <c r="H320" s="15"/>
      <c r="I320" s="15"/>
      <c r="J320" s="15"/>
      <c r="K320" s="15"/>
    </row>
    <row r="321" spans="5:11" ht="12.75">
      <c r="E321" s="15"/>
      <c r="F321" s="15"/>
      <c r="G321" s="15"/>
      <c r="H321" s="15"/>
      <c r="I321" s="15"/>
      <c r="J321" s="15"/>
      <c r="K321" s="15"/>
    </row>
    <row r="322" spans="5:11" ht="12.75">
      <c r="E322" s="15"/>
      <c r="F322" s="15"/>
      <c r="G322" s="15"/>
      <c r="H322" s="15"/>
      <c r="I322" s="15"/>
      <c r="J322" s="15"/>
      <c r="K322" s="15"/>
    </row>
    <row r="323" spans="5:11" ht="12.75">
      <c r="E323" s="15"/>
      <c r="F323" s="15"/>
      <c r="G323" s="15"/>
      <c r="H323" s="15"/>
      <c r="I323" s="15"/>
      <c r="J323" s="15"/>
      <c r="K323" s="15"/>
    </row>
    <row r="324" spans="5:11" ht="12.75">
      <c r="E324" s="15"/>
      <c r="F324" s="15"/>
      <c r="G324" s="15"/>
      <c r="H324" s="15"/>
      <c r="I324" s="15"/>
      <c r="J324" s="15"/>
      <c r="K324" s="15"/>
    </row>
    <row r="325" spans="5:11" ht="12.75">
      <c r="E325" s="15"/>
      <c r="F325" s="15"/>
      <c r="G325" s="15"/>
      <c r="H325" s="15"/>
      <c r="I325" s="15"/>
      <c r="J325" s="15"/>
      <c r="K325" s="15"/>
    </row>
    <row r="326" spans="5:11" ht="12.75">
      <c r="E326" s="15"/>
      <c r="F326" s="15"/>
      <c r="G326" s="15"/>
      <c r="H326" s="15"/>
      <c r="I326" s="15"/>
      <c r="J326" s="15"/>
      <c r="K326" s="15"/>
    </row>
    <row r="327" spans="5:11" ht="12.75">
      <c r="E327" s="15"/>
      <c r="F327" s="15"/>
      <c r="G327" s="15"/>
      <c r="H327" s="15"/>
      <c r="I327" s="15"/>
      <c r="J327" s="15"/>
      <c r="K327" s="15"/>
    </row>
    <row r="328" spans="5:11" ht="12.75">
      <c r="E328" s="15"/>
      <c r="F328" s="15"/>
      <c r="G328" s="15"/>
      <c r="H328" s="15"/>
      <c r="I328" s="15"/>
      <c r="J328" s="15"/>
      <c r="K328" s="15"/>
    </row>
    <row r="329" spans="5:11" ht="12.75">
      <c r="E329" s="15"/>
      <c r="F329" s="15"/>
      <c r="G329" s="15"/>
      <c r="H329" s="15"/>
      <c r="I329" s="15"/>
      <c r="J329" s="15"/>
      <c r="K329" s="15"/>
    </row>
    <row r="330" spans="5:11" ht="12.75">
      <c r="E330" s="15"/>
      <c r="F330" s="15"/>
      <c r="G330" s="15"/>
      <c r="H330" s="15"/>
      <c r="I330" s="15"/>
      <c r="J330" s="15"/>
      <c r="K330" s="15"/>
    </row>
    <row r="331" spans="5:11" ht="12.75">
      <c r="E331" s="15"/>
      <c r="F331" s="15"/>
      <c r="G331" s="15"/>
      <c r="H331" s="15"/>
      <c r="I331" s="15"/>
      <c r="J331" s="15"/>
      <c r="K331" s="15"/>
    </row>
    <row r="332" spans="5:11" ht="12.75">
      <c r="E332" s="15"/>
      <c r="F332" s="15"/>
      <c r="G332" s="15"/>
      <c r="H332" s="15"/>
      <c r="I332" s="15"/>
      <c r="J332" s="15"/>
      <c r="K332" s="15"/>
    </row>
    <row r="333" spans="5:11" ht="12.75">
      <c r="E333" s="15"/>
      <c r="F333" s="15"/>
      <c r="G333" s="15"/>
      <c r="H333" s="15"/>
      <c r="I333" s="15"/>
      <c r="J333" s="15"/>
      <c r="K333" s="15"/>
    </row>
    <row r="334" spans="5:11" ht="12.75">
      <c r="E334" s="15"/>
      <c r="F334" s="15"/>
      <c r="G334" s="15"/>
      <c r="H334" s="15"/>
      <c r="I334" s="15"/>
      <c r="J334" s="15"/>
      <c r="K334" s="15"/>
    </row>
    <row r="335" spans="5:11" ht="12.75">
      <c r="E335" s="15"/>
      <c r="F335" s="15"/>
      <c r="G335" s="15"/>
      <c r="H335" s="15"/>
      <c r="I335" s="15"/>
      <c r="J335" s="15"/>
      <c r="K335" s="15"/>
    </row>
    <row r="336" spans="5:11" ht="12.75">
      <c r="E336" s="15"/>
      <c r="F336" s="15"/>
      <c r="G336" s="15"/>
      <c r="H336" s="15"/>
      <c r="I336" s="15"/>
      <c r="J336" s="15"/>
      <c r="K336" s="15"/>
    </row>
    <row r="337" spans="5:11" ht="12.75">
      <c r="E337" s="15"/>
      <c r="F337" s="15"/>
      <c r="G337" s="15"/>
      <c r="H337" s="15"/>
      <c r="I337" s="15"/>
      <c r="J337" s="15"/>
      <c r="K337" s="15"/>
    </row>
    <row r="338" spans="5:11" ht="12.75">
      <c r="E338" s="15"/>
      <c r="F338" s="15"/>
      <c r="G338" s="15"/>
      <c r="H338" s="15"/>
      <c r="I338" s="15"/>
      <c r="J338" s="15"/>
      <c r="K338" s="15"/>
    </row>
    <row r="339" spans="5:11" ht="12.75">
      <c r="E339" s="15"/>
      <c r="F339" s="15"/>
      <c r="G339" s="15"/>
      <c r="H339" s="15"/>
      <c r="I339" s="15"/>
      <c r="J339" s="15"/>
      <c r="K339" s="15"/>
    </row>
    <row r="340" spans="5:11" ht="12.75">
      <c r="E340" s="15"/>
      <c r="F340" s="15"/>
      <c r="G340" s="15"/>
      <c r="H340" s="15"/>
      <c r="I340" s="15"/>
      <c r="J340" s="15"/>
      <c r="K340" s="15"/>
    </row>
    <row r="341" spans="5:11" ht="12.75">
      <c r="E341" s="15"/>
      <c r="F341" s="15"/>
      <c r="G341" s="15"/>
      <c r="H341" s="15"/>
      <c r="I341" s="15"/>
      <c r="J341" s="15"/>
      <c r="K341" s="15"/>
    </row>
    <row r="342" spans="5:11" ht="12.75">
      <c r="E342" s="15"/>
      <c r="F342" s="15"/>
      <c r="G342" s="15"/>
      <c r="H342" s="15"/>
      <c r="I342" s="15"/>
      <c r="J342" s="15"/>
      <c r="K342" s="15"/>
    </row>
    <row r="343" spans="5:11" ht="12.75">
      <c r="E343" s="15"/>
      <c r="F343" s="15"/>
      <c r="G343" s="15"/>
      <c r="H343" s="15"/>
      <c r="I343" s="15"/>
      <c r="J343" s="15"/>
      <c r="K343" s="15"/>
    </row>
    <row r="344" spans="5:11" ht="12.75">
      <c r="E344" s="15"/>
      <c r="F344" s="15"/>
      <c r="G344" s="15"/>
      <c r="H344" s="15"/>
      <c r="I344" s="15"/>
      <c r="J344" s="15"/>
      <c r="K344" s="15"/>
    </row>
    <row r="345" spans="5:11" ht="12.75">
      <c r="E345" s="15"/>
      <c r="F345" s="15"/>
      <c r="G345" s="15"/>
      <c r="H345" s="15"/>
      <c r="I345" s="15"/>
      <c r="J345" s="15"/>
      <c r="K345" s="15"/>
    </row>
    <row r="346" spans="5:11" ht="12.75">
      <c r="E346" s="15"/>
      <c r="F346" s="15"/>
      <c r="G346" s="15"/>
      <c r="H346" s="15"/>
      <c r="I346" s="15"/>
      <c r="J346" s="15"/>
      <c r="K346" s="15"/>
    </row>
    <row r="347" spans="5:11" ht="12.75">
      <c r="E347" s="15"/>
      <c r="F347" s="15"/>
      <c r="G347" s="15"/>
      <c r="H347" s="15"/>
      <c r="I347" s="15"/>
      <c r="J347" s="15"/>
      <c r="K347" s="15"/>
    </row>
    <row r="348" spans="5:11" ht="12.75">
      <c r="E348" s="15"/>
      <c r="F348" s="15"/>
      <c r="G348" s="15"/>
      <c r="H348" s="15"/>
      <c r="I348" s="15"/>
      <c r="J348" s="15"/>
      <c r="K348" s="15"/>
    </row>
    <row r="349" spans="5:11" ht="12.75">
      <c r="E349" s="15"/>
      <c r="F349" s="15"/>
      <c r="G349" s="15"/>
      <c r="H349" s="15"/>
      <c r="I349" s="15"/>
      <c r="J349" s="15"/>
      <c r="K349" s="15"/>
    </row>
    <row r="350" spans="5:11" ht="12.75">
      <c r="E350" s="15"/>
      <c r="F350" s="15"/>
      <c r="G350" s="15"/>
      <c r="H350" s="15"/>
      <c r="I350" s="15"/>
      <c r="J350" s="15"/>
      <c r="K350" s="15"/>
    </row>
    <row r="351" spans="5:11" ht="12.75">
      <c r="E351" s="15"/>
      <c r="F351" s="15"/>
      <c r="G351" s="15"/>
      <c r="H351" s="15"/>
      <c r="I351" s="15"/>
      <c r="J351" s="15"/>
      <c r="K351" s="15"/>
    </row>
    <row r="352" spans="5:11" ht="12.75">
      <c r="E352" s="15"/>
      <c r="F352" s="15"/>
      <c r="G352" s="15"/>
      <c r="H352" s="15"/>
      <c r="I352" s="15"/>
      <c r="J352" s="15"/>
      <c r="K352" s="15"/>
    </row>
    <row r="353" spans="5:11" ht="12.75">
      <c r="E353" s="15"/>
      <c r="F353" s="15"/>
      <c r="G353" s="15"/>
      <c r="H353" s="15"/>
      <c r="I353" s="15"/>
      <c r="J353" s="15"/>
      <c r="K353" s="15"/>
    </row>
    <row r="354" spans="5:11" ht="12.75">
      <c r="E354" s="15"/>
      <c r="F354" s="15"/>
      <c r="G354" s="15"/>
      <c r="H354" s="15"/>
      <c r="I354" s="15"/>
      <c r="J354" s="15"/>
      <c r="K354" s="15"/>
    </row>
    <row r="355" spans="5:11" ht="12.75">
      <c r="E355" s="15"/>
      <c r="F355" s="15"/>
      <c r="G355" s="15"/>
      <c r="H355" s="15"/>
      <c r="I355" s="15"/>
      <c r="J355" s="15"/>
      <c r="K355" s="15"/>
    </row>
    <row r="356" spans="5:11" ht="12.75">
      <c r="E356" s="15"/>
      <c r="F356" s="15"/>
      <c r="G356" s="15"/>
      <c r="H356" s="15"/>
      <c r="I356" s="15"/>
      <c r="J356" s="15"/>
      <c r="K356" s="15"/>
    </row>
    <row r="357" spans="5:11" ht="12.75">
      <c r="E357" s="15"/>
      <c r="F357" s="15"/>
      <c r="G357" s="15"/>
      <c r="H357" s="15"/>
      <c r="I357" s="15"/>
      <c r="J357" s="15"/>
      <c r="K357" s="15"/>
    </row>
    <row r="358" spans="5:11" ht="12.75">
      <c r="E358" s="15"/>
      <c r="F358" s="15"/>
      <c r="G358" s="15"/>
      <c r="H358" s="15"/>
      <c r="I358" s="15"/>
      <c r="J358" s="15"/>
      <c r="K358" s="15"/>
    </row>
    <row r="359" spans="5:11" ht="12.75">
      <c r="E359" s="15"/>
      <c r="F359" s="15"/>
      <c r="G359" s="15"/>
      <c r="H359" s="15"/>
      <c r="I359" s="15"/>
      <c r="J359" s="15"/>
      <c r="K359" s="15"/>
    </row>
    <row r="360" spans="5:11" ht="12.75">
      <c r="E360" s="15"/>
      <c r="F360" s="15"/>
      <c r="G360" s="15"/>
      <c r="H360" s="15"/>
      <c r="I360" s="15"/>
      <c r="J360" s="15"/>
      <c r="K360" s="15"/>
    </row>
    <row r="361" spans="5:11" ht="12.75">
      <c r="E361" s="15"/>
      <c r="F361" s="15"/>
      <c r="G361" s="15"/>
      <c r="H361" s="15"/>
      <c r="I361" s="15"/>
      <c r="J361" s="15"/>
      <c r="K361" s="15"/>
    </row>
    <row r="362" spans="5:11" ht="12.75">
      <c r="E362" s="15"/>
      <c r="F362" s="15"/>
      <c r="G362" s="15"/>
      <c r="H362" s="15"/>
      <c r="I362" s="15"/>
      <c r="J362" s="15"/>
      <c r="K362" s="15"/>
    </row>
    <row r="363" spans="5:11" ht="12.75">
      <c r="E363" s="15"/>
      <c r="F363" s="15"/>
      <c r="G363" s="15"/>
      <c r="H363" s="15"/>
      <c r="I363" s="15"/>
      <c r="J363" s="15"/>
      <c r="K363" s="15"/>
    </row>
    <row r="364" spans="5:11" ht="12.75">
      <c r="E364" s="15"/>
      <c r="F364" s="15"/>
      <c r="G364" s="15"/>
      <c r="H364" s="15"/>
      <c r="I364" s="15"/>
      <c r="J364" s="15"/>
      <c r="K364" s="15"/>
    </row>
    <row r="365" spans="5:11" ht="12.75">
      <c r="E365" s="15"/>
      <c r="F365" s="15"/>
      <c r="G365" s="15"/>
      <c r="H365" s="15"/>
      <c r="I365" s="15"/>
      <c r="J365" s="15"/>
      <c r="K365" s="15"/>
    </row>
    <row r="366" spans="5:11" ht="12.75">
      <c r="E366" s="15"/>
      <c r="F366" s="15"/>
      <c r="G366" s="15"/>
      <c r="H366" s="15"/>
      <c r="I366" s="15"/>
      <c r="J366" s="15"/>
      <c r="K366" s="15"/>
    </row>
    <row r="367" spans="5:11" ht="12.75">
      <c r="E367" s="15"/>
      <c r="F367" s="15"/>
      <c r="G367" s="15"/>
      <c r="H367" s="15"/>
      <c r="I367" s="15"/>
      <c r="J367" s="15"/>
      <c r="K367" s="15"/>
    </row>
    <row r="368" spans="5:11" ht="12.75">
      <c r="E368" s="15"/>
      <c r="F368" s="15"/>
      <c r="G368" s="15"/>
      <c r="H368" s="15"/>
      <c r="I368" s="15"/>
      <c r="J368" s="15"/>
      <c r="K368" s="15"/>
    </row>
    <row r="369" spans="5:11" ht="12.75">
      <c r="E369" s="15"/>
      <c r="F369" s="15"/>
      <c r="G369" s="15"/>
      <c r="H369" s="15"/>
      <c r="I369" s="15"/>
      <c r="J369" s="15"/>
      <c r="K369" s="15"/>
    </row>
    <row r="370" spans="5:11" ht="12.75">
      <c r="E370" s="15"/>
      <c r="F370" s="15"/>
      <c r="G370" s="15"/>
      <c r="H370" s="15"/>
      <c r="I370" s="15"/>
      <c r="J370" s="15"/>
      <c r="K370" s="15"/>
    </row>
    <row r="371" spans="5:11" ht="12.75">
      <c r="E371" s="15"/>
      <c r="F371" s="15"/>
      <c r="G371" s="15"/>
      <c r="H371" s="15"/>
      <c r="I371" s="15"/>
      <c r="J371" s="15"/>
      <c r="K371" s="15"/>
    </row>
    <row r="372" spans="5:11" ht="12.75">
      <c r="E372" s="15"/>
      <c r="F372" s="15"/>
      <c r="G372" s="15"/>
      <c r="H372" s="15"/>
      <c r="I372" s="15"/>
      <c r="J372" s="15"/>
      <c r="K372" s="15"/>
    </row>
    <row r="373" spans="5:11" ht="12.75">
      <c r="E373" s="15"/>
      <c r="F373" s="15"/>
      <c r="G373" s="15"/>
      <c r="H373" s="15"/>
      <c r="I373" s="15"/>
      <c r="J373" s="15"/>
      <c r="K373" s="15"/>
    </row>
    <row r="374" spans="5:11" ht="12.75">
      <c r="E374" s="15"/>
      <c r="F374" s="15"/>
      <c r="G374" s="15"/>
      <c r="H374" s="15"/>
      <c r="I374" s="15"/>
      <c r="J374" s="15"/>
      <c r="K374" s="15"/>
    </row>
    <row r="375" spans="5:11" ht="12.75">
      <c r="E375" s="15"/>
      <c r="F375" s="15"/>
      <c r="G375" s="15"/>
      <c r="H375" s="15"/>
      <c r="I375" s="15"/>
      <c r="J375" s="15"/>
      <c r="K375" s="15"/>
    </row>
    <row r="376" spans="5:11" ht="12.75">
      <c r="E376" s="15"/>
      <c r="F376" s="15"/>
      <c r="G376" s="15"/>
      <c r="H376" s="15"/>
      <c r="I376" s="15"/>
      <c r="J376" s="15"/>
      <c r="K376" s="15"/>
    </row>
    <row r="377" spans="5:11" ht="12.75">
      <c r="E377" s="15"/>
      <c r="F377" s="15"/>
      <c r="G377" s="15"/>
      <c r="H377" s="15"/>
      <c r="I377" s="15"/>
      <c r="J377" s="15"/>
      <c r="K377" s="15"/>
    </row>
    <row r="378" spans="5:11" ht="12.75">
      <c r="E378" s="15"/>
      <c r="F378" s="15"/>
      <c r="G378" s="15"/>
      <c r="H378" s="15"/>
      <c r="I378" s="15"/>
      <c r="J378" s="15"/>
      <c r="K378" s="15"/>
    </row>
    <row r="379" spans="5:11" ht="12.75">
      <c r="E379" s="15"/>
      <c r="F379" s="15"/>
      <c r="G379" s="15"/>
      <c r="H379" s="15"/>
      <c r="I379" s="15"/>
      <c r="J379" s="15"/>
      <c r="K379" s="15"/>
    </row>
    <row r="380" spans="5:11" ht="12.75">
      <c r="E380" s="15"/>
      <c r="F380" s="15"/>
      <c r="G380" s="15"/>
      <c r="H380" s="15"/>
      <c r="I380" s="15"/>
      <c r="J380" s="15"/>
      <c r="K380" s="15"/>
    </row>
    <row r="381" spans="5:11" ht="12.75">
      <c r="E381" s="15"/>
      <c r="F381" s="15"/>
      <c r="G381" s="15"/>
      <c r="H381" s="15"/>
      <c r="I381" s="15"/>
      <c r="J381" s="15"/>
      <c r="K381" s="15"/>
    </row>
    <row r="382" spans="5:11" ht="12.75">
      <c r="E382" s="15"/>
      <c r="F382" s="15"/>
      <c r="G382" s="15"/>
      <c r="H382" s="15"/>
      <c r="I382" s="15"/>
      <c r="J382" s="15"/>
      <c r="K382" s="15"/>
    </row>
    <row r="383" spans="5:11" ht="12.75">
      <c r="E383" s="15"/>
      <c r="F383" s="15"/>
      <c r="G383" s="15"/>
      <c r="H383" s="15"/>
      <c r="I383" s="15"/>
      <c r="J383" s="15"/>
      <c r="K383" s="15"/>
    </row>
    <row r="384" spans="5:11" ht="12.75">
      <c r="E384" s="15"/>
      <c r="F384" s="15"/>
      <c r="G384" s="15"/>
      <c r="H384" s="15"/>
      <c r="I384" s="15"/>
      <c r="J384" s="15"/>
      <c r="K384" s="15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pane ySplit="615" topLeftCell="BM85" activePane="bottomLeft" state="split"/>
      <selection pane="topLeft" activeCell="A1" sqref="A1"/>
      <selection pane="bottomLeft" activeCell="P90" sqref="P90"/>
    </sheetView>
  </sheetViews>
  <sheetFormatPr defaultColWidth="9.140625" defaultRowHeight="12.75"/>
  <cols>
    <col min="1" max="1" width="5.00390625" style="47" bestFit="1" customWidth="1"/>
    <col min="2" max="2" width="7.57421875" style="47" bestFit="1" customWidth="1"/>
    <col min="3" max="3" width="6.140625" style="47" bestFit="1" customWidth="1"/>
    <col min="4" max="4" width="39.140625" style="48" bestFit="1" customWidth="1"/>
    <col min="5" max="10" width="11.57421875" style="47" customWidth="1"/>
    <col min="11" max="11" width="6.7109375" style="47" bestFit="1" customWidth="1"/>
    <col min="12" max="12" width="15.57421875" style="47" customWidth="1"/>
    <col min="13" max="13" width="10.7109375" style="47" bestFit="1" customWidth="1"/>
    <col min="14" max="16384" width="9.140625" style="47" customWidth="1"/>
  </cols>
  <sheetData>
    <row r="1" spans="2:10" s="49" customFormat="1" ht="18">
      <c r="B1" s="49" t="s">
        <v>135</v>
      </c>
      <c r="D1" s="50"/>
      <c r="E1" s="49" t="s">
        <v>136</v>
      </c>
      <c r="F1" s="49" t="s">
        <v>137</v>
      </c>
      <c r="G1" s="49" t="s">
        <v>138</v>
      </c>
      <c r="H1" s="49" t="s">
        <v>139</v>
      </c>
      <c r="I1" s="49" t="s">
        <v>140</v>
      </c>
      <c r="J1" s="49" t="s">
        <v>141</v>
      </c>
    </row>
    <row r="2" s="49" customFormat="1" ht="5.25" customHeight="1">
      <c r="D2" s="50"/>
    </row>
    <row r="3" s="49" customFormat="1" ht="5.25" customHeight="1">
      <c r="D3" s="50"/>
    </row>
    <row r="4" s="49" customFormat="1" ht="5.25" customHeight="1">
      <c r="D4" s="50"/>
    </row>
    <row r="5" s="49" customFormat="1" ht="5.25" customHeight="1">
      <c r="D5" s="50"/>
    </row>
    <row r="6" s="49" customFormat="1" ht="5.25" customHeight="1">
      <c r="D6" s="50"/>
    </row>
    <row r="7" s="49" customFormat="1" ht="5.25" customHeight="1">
      <c r="D7" s="50"/>
    </row>
    <row r="8" s="49" customFormat="1" ht="5.25" customHeight="1">
      <c r="D8" s="50"/>
    </row>
    <row r="9" s="49" customFormat="1" ht="5.25" customHeight="1">
      <c r="D9" s="50"/>
    </row>
    <row r="10" s="49" customFormat="1" ht="5.25" customHeight="1">
      <c r="D10" s="50"/>
    </row>
    <row r="11" s="49" customFormat="1" ht="5.25" customHeight="1">
      <c r="D11" s="50"/>
    </row>
    <row r="12" s="49" customFormat="1" ht="5.25" customHeight="1">
      <c r="D12" s="50"/>
    </row>
    <row r="13" s="49" customFormat="1" ht="5.25" customHeight="1">
      <c r="D13" s="50"/>
    </row>
    <row r="14" s="49" customFormat="1" ht="5.25" customHeight="1">
      <c r="D14" s="50"/>
    </row>
    <row r="15" s="49" customFormat="1" ht="5.25" customHeight="1">
      <c r="D15" s="50"/>
    </row>
    <row r="16" s="49" customFormat="1" ht="5.25" customHeight="1">
      <c r="D16" s="50"/>
    </row>
    <row r="17" s="49" customFormat="1" ht="5.25" customHeight="1">
      <c r="D17" s="50"/>
    </row>
    <row r="18" s="49" customFormat="1" ht="5.25" customHeight="1">
      <c r="D18" s="50"/>
    </row>
    <row r="19" s="49" customFormat="1" ht="5.25" customHeight="1">
      <c r="D19" s="50"/>
    </row>
    <row r="20" s="49" customFormat="1" ht="5.25" customHeight="1">
      <c r="D20" s="50"/>
    </row>
    <row r="21" s="49" customFormat="1" ht="5.25" customHeight="1">
      <c r="D21" s="50"/>
    </row>
    <row r="22" s="49" customFormat="1" ht="5.25" customHeight="1">
      <c r="D22" s="50"/>
    </row>
    <row r="23" s="49" customFormat="1" ht="5.25" customHeight="1">
      <c r="D23" s="50"/>
    </row>
    <row r="25" spans="1:12" ht="12.75">
      <c r="A25" s="44">
        <v>9450</v>
      </c>
      <c r="B25" s="25" t="s">
        <v>33</v>
      </c>
      <c r="C25" s="25"/>
      <c r="D25" s="43" t="s">
        <v>34</v>
      </c>
      <c r="E25" s="45"/>
      <c r="F25" s="45"/>
      <c r="G25" s="45"/>
      <c r="H25" s="45"/>
      <c r="I25" s="45"/>
      <c r="J25" s="45"/>
      <c r="K25" s="45"/>
      <c r="L25" s="46">
        <f aca="true" t="shared" si="0" ref="L25:L89">SUM(E25:J25)</f>
        <v>0</v>
      </c>
    </row>
    <row r="26" spans="1:12" ht="12.75">
      <c r="A26" s="25"/>
      <c r="B26" s="25"/>
      <c r="C26" s="25" t="s">
        <v>17</v>
      </c>
      <c r="D26" s="43" t="s">
        <v>18</v>
      </c>
      <c r="E26" s="45"/>
      <c r="F26" s="45"/>
      <c r="G26" s="45"/>
      <c r="H26" s="45"/>
      <c r="I26" s="45"/>
      <c r="J26" s="45"/>
      <c r="K26" s="45"/>
      <c r="L26" s="46">
        <f t="shared" si="0"/>
        <v>0</v>
      </c>
    </row>
    <row r="27" spans="1:12" ht="12.75">
      <c r="A27" s="25"/>
      <c r="B27" s="25"/>
      <c r="C27" s="25">
        <v>1201</v>
      </c>
      <c r="D27" s="43" t="s">
        <v>36</v>
      </c>
      <c r="E27" s="45">
        <f>319051+58</f>
        <v>319109</v>
      </c>
      <c r="F27" s="45"/>
      <c r="G27" s="45"/>
      <c r="H27" s="45"/>
      <c r="I27" s="45"/>
      <c r="J27" s="45"/>
      <c r="K27" s="45"/>
      <c r="L27" s="46">
        <f t="shared" si="0"/>
        <v>319109</v>
      </c>
    </row>
    <row r="28" spans="1:12" ht="12.75">
      <c r="A28" s="25"/>
      <c r="B28" s="25"/>
      <c r="C28" s="25">
        <v>1202</v>
      </c>
      <c r="D28" s="43" t="s">
        <v>37</v>
      </c>
      <c r="E28" s="45">
        <v>58</v>
      </c>
      <c r="F28" s="45">
        <v>26018</v>
      </c>
      <c r="G28" s="45"/>
      <c r="H28" s="45"/>
      <c r="I28" s="45"/>
      <c r="J28" s="45"/>
      <c r="K28" s="45"/>
      <c r="L28" s="46">
        <f t="shared" si="0"/>
        <v>26076</v>
      </c>
    </row>
    <row r="29" spans="1:12" ht="12.75">
      <c r="A29" s="25"/>
      <c r="B29" s="25"/>
      <c r="C29" s="25">
        <v>1203</v>
      </c>
      <c r="D29" s="43" t="s">
        <v>38</v>
      </c>
      <c r="E29" s="45"/>
      <c r="F29" s="45">
        <f>205000+256649</f>
        <v>461649</v>
      </c>
      <c r="G29" s="45">
        <f>130095+112677.5+143170</f>
        <v>385942.5</v>
      </c>
      <c r="H29" s="45">
        <f>225658+516+54281+25236</f>
        <v>305691</v>
      </c>
      <c r="I29" s="45"/>
      <c r="J29" s="45"/>
      <c r="K29" s="45"/>
      <c r="L29" s="46">
        <f t="shared" si="0"/>
        <v>1153282.5</v>
      </c>
    </row>
    <row r="30" spans="1:12" ht="12.75">
      <c r="A30" s="25"/>
      <c r="B30" s="25"/>
      <c r="C30" s="25">
        <v>1204</v>
      </c>
      <c r="D30" s="43" t="s">
        <v>39</v>
      </c>
      <c r="E30" s="45"/>
      <c r="F30" s="45"/>
      <c r="G30" s="45"/>
      <c r="H30" s="45"/>
      <c r="I30" s="45">
        <v>136941</v>
      </c>
      <c r="J30" s="45">
        <v>25641</v>
      </c>
      <c r="K30" s="45"/>
      <c r="L30" s="46">
        <f t="shared" si="0"/>
        <v>162582</v>
      </c>
    </row>
    <row r="31" spans="1:12" ht="12.75">
      <c r="A31" s="25"/>
      <c r="B31" s="25"/>
      <c r="C31" s="25">
        <v>1206</v>
      </c>
      <c r="D31" s="43" t="s">
        <v>40</v>
      </c>
      <c r="E31" s="45"/>
      <c r="F31" s="45"/>
      <c r="G31" s="45"/>
      <c r="H31" s="45"/>
      <c r="I31" s="45"/>
      <c r="J31" s="45"/>
      <c r="K31" s="45"/>
      <c r="L31" s="46">
        <f t="shared" si="0"/>
        <v>0</v>
      </c>
    </row>
    <row r="32" spans="1:12" ht="12.75">
      <c r="A32" s="25"/>
      <c r="B32" s="25"/>
      <c r="C32" s="25">
        <v>1250</v>
      </c>
      <c r="D32" s="43" t="s">
        <v>41</v>
      </c>
      <c r="E32" s="45"/>
      <c r="F32" s="45"/>
      <c r="G32" s="45"/>
      <c r="H32" s="45"/>
      <c r="I32" s="45"/>
      <c r="J32" s="45"/>
      <c r="K32" s="45"/>
      <c r="L32" s="46">
        <f t="shared" si="0"/>
        <v>0</v>
      </c>
    </row>
    <row r="33" spans="1:12" ht="12.75">
      <c r="A33" s="25"/>
      <c r="B33" s="25"/>
      <c r="C33" s="51">
        <v>1260</v>
      </c>
      <c r="D33" s="52" t="s">
        <v>147</v>
      </c>
      <c r="E33" s="45"/>
      <c r="F33" s="45"/>
      <c r="G33" s="45"/>
      <c r="H33" s="45"/>
      <c r="I33" s="45"/>
      <c r="J33" s="45">
        <v>5117</v>
      </c>
      <c r="K33" s="45"/>
      <c r="L33" s="46">
        <f t="shared" si="0"/>
        <v>5117</v>
      </c>
    </row>
    <row r="34" spans="1:12" ht="12.75">
      <c r="A34" s="25"/>
      <c r="B34" s="25"/>
      <c r="C34" s="25">
        <v>1301</v>
      </c>
      <c r="D34" s="43" t="s">
        <v>42</v>
      </c>
      <c r="E34" s="45"/>
      <c r="F34" s="45"/>
      <c r="G34" s="45"/>
      <c r="H34" s="45"/>
      <c r="I34" s="45"/>
      <c r="J34" s="45"/>
      <c r="K34" s="45"/>
      <c r="L34" s="46">
        <f t="shared" si="0"/>
        <v>0</v>
      </c>
    </row>
    <row r="35" spans="1:12" ht="12.75">
      <c r="A35" s="25"/>
      <c r="B35" s="25"/>
      <c r="C35" s="25">
        <v>1302</v>
      </c>
      <c r="D35" s="43" t="s">
        <v>43</v>
      </c>
      <c r="E35" s="45"/>
      <c r="F35" s="45"/>
      <c r="G35" s="45"/>
      <c r="H35" s="45"/>
      <c r="I35" s="45"/>
      <c r="J35" s="45"/>
      <c r="K35" s="45"/>
      <c r="L35" s="46">
        <f t="shared" si="0"/>
        <v>0</v>
      </c>
    </row>
    <row r="36" spans="1:12" ht="12.75">
      <c r="A36" s="25"/>
      <c r="B36" s="25"/>
      <c r="C36" s="25">
        <v>1303</v>
      </c>
      <c r="D36" s="43" t="s">
        <v>44</v>
      </c>
      <c r="E36" s="45"/>
      <c r="F36" s="45"/>
      <c r="G36" s="45"/>
      <c r="H36" s="45"/>
      <c r="I36" s="45"/>
      <c r="J36" s="45"/>
      <c r="K36" s="45"/>
      <c r="L36" s="46">
        <f t="shared" si="0"/>
        <v>0</v>
      </c>
    </row>
    <row r="37" spans="1:12" ht="12.75">
      <c r="A37" s="25"/>
      <c r="B37" s="25"/>
      <c r="C37" s="25">
        <v>1350</v>
      </c>
      <c r="D37" s="43" t="s">
        <v>45</v>
      </c>
      <c r="E37" s="45"/>
      <c r="F37" s="45"/>
      <c r="G37" s="45"/>
      <c r="H37" s="45"/>
      <c r="I37" s="45"/>
      <c r="J37" s="45"/>
      <c r="K37" s="45"/>
      <c r="L37" s="46">
        <f t="shared" si="0"/>
        <v>0</v>
      </c>
    </row>
    <row r="38" spans="1:12" ht="12.75">
      <c r="A38" s="25"/>
      <c r="B38" s="25"/>
      <c r="C38" s="25">
        <v>1351</v>
      </c>
      <c r="D38" s="43" t="s">
        <v>46</v>
      </c>
      <c r="E38" s="45"/>
      <c r="F38" s="45"/>
      <c r="G38" s="45"/>
      <c r="H38" s="45"/>
      <c r="I38" s="45"/>
      <c r="J38" s="45"/>
      <c r="K38" s="45"/>
      <c r="L38" s="46">
        <f t="shared" si="0"/>
        <v>0</v>
      </c>
    </row>
    <row r="39" spans="1:12" ht="12.75">
      <c r="A39" s="25"/>
      <c r="B39" s="25"/>
      <c r="C39" s="25">
        <v>1352</v>
      </c>
      <c r="D39" s="43" t="s">
        <v>47</v>
      </c>
      <c r="E39" s="45"/>
      <c r="F39" s="45"/>
      <c r="G39" s="45"/>
      <c r="H39" s="45"/>
      <c r="I39" s="45"/>
      <c r="J39" s="45"/>
      <c r="K39" s="45"/>
      <c r="L39" s="46">
        <f t="shared" si="0"/>
        <v>0</v>
      </c>
    </row>
    <row r="40" spans="1:12" ht="12.75">
      <c r="A40" s="25"/>
      <c r="B40" s="25"/>
      <c r="C40" s="25">
        <v>1354</v>
      </c>
      <c r="D40" s="43" t="s">
        <v>48</v>
      </c>
      <c r="E40" s="45"/>
      <c r="F40" s="45"/>
      <c r="G40" s="45"/>
      <c r="H40" s="45"/>
      <c r="I40" s="45"/>
      <c r="J40" s="45"/>
      <c r="K40" s="45"/>
      <c r="L40" s="46">
        <f t="shared" si="0"/>
        <v>0</v>
      </c>
    </row>
    <row r="41" spans="1:12" ht="12.75">
      <c r="A41" s="25"/>
      <c r="B41" s="25"/>
      <c r="C41" s="51">
        <v>1355</v>
      </c>
      <c r="D41" s="52" t="s">
        <v>148</v>
      </c>
      <c r="E41" s="45"/>
      <c r="F41" s="45"/>
      <c r="G41" s="45"/>
      <c r="H41" s="45"/>
      <c r="I41" s="45"/>
      <c r="J41" s="45">
        <v>1169</v>
      </c>
      <c r="K41" s="45"/>
      <c r="L41" s="46">
        <f t="shared" si="0"/>
        <v>1169</v>
      </c>
    </row>
    <row r="42" spans="1:12" ht="12.75">
      <c r="A42" s="25"/>
      <c r="B42" s="25"/>
      <c r="C42" s="25">
        <v>1361</v>
      </c>
      <c r="D42" s="43" t="s">
        <v>49</v>
      </c>
      <c r="E42" s="45"/>
      <c r="F42" s="45"/>
      <c r="G42" s="45"/>
      <c r="H42" s="45"/>
      <c r="I42" s="45"/>
      <c r="J42" s="45"/>
      <c r="K42" s="45"/>
      <c r="L42" s="46">
        <f t="shared" si="0"/>
        <v>0</v>
      </c>
    </row>
    <row r="43" spans="1:12" ht="12.75">
      <c r="A43" s="25"/>
      <c r="B43" s="25"/>
      <c r="C43" s="25">
        <v>1401</v>
      </c>
      <c r="D43" s="43" t="s">
        <v>50</v>
      </c>
      <c r="E43" s="45">
        <v>303043</v>
      </c>
      <c r="F43" s="45"/>
      <c r="G43" s="45"/>
      <c r="H43" s="45"/>
      <c r="I43" s="45"/>
      <c r="J43" s="45"/>
      <c r="K43" s="45"/>
      <c r="L43" s="46">
        <f t="shared" si="0"/>
        <v>303043</v>
      </c>
    </row>
    <row r="44" spans="1:12" ht="12.75">
      <c r="A44" s="25"/>
      <c r="B44" s="25"/>
      <c r="C44" s="25">
        <v>1402</v>
      </c>
      <c r="D44" s="43" t="s">
        <v>51</v>
      </c>
      <c r="E44" s="45">
        <v>84219</v>
      </c>
      <c r="F44" s="45">
        <f>-1298+236757</f>
        <v>235459</v>
      </c>
      <c r="G44" s="45">
        <v>74754.5</v>
      </c>
      <c r="H44" s="45">
        <v>339</v>
      </c>
      <c r="I44" s="45"/>
      <c r="J44" s="45"/>
      <c r="K44" s="45"/>
      <c r="L44" s="46">
        <f t="shared" si="0"/>
        <v>394771.5</v>
      </c>
    </row>
    <row r="45" spans="1:12" ht="12.75">
      <c r="A45" s="25"/>
      <c r="B45" s="25"/>
      <c r="C45" s="25">
        <v>1403</v>
      </c>
      <c r="D45" s="43" t="s">
        <v>52</v>
      </c>
      <c r="E45" s="45"/>
      <c r="F45" s="45">
        <v>1201890</v>
      </c>
      <c r="G45" s="45">
        <f>983179+23788+34076.5</f>
        <v>1041043.5</v>
      </c>
      <c r="H45" s="45">
        <f>278730+364831+119463</f>
        <v>763024</v>
      </c>
      <c r="I45" s="45"/>
      <c r="J45" s="45"/>
      <c r="K45" s="45"/>
      <c r="L45" s="46">
        <f t="shared" si="0"/>
        <v>3005957.5</v>
      </c>
    </row>
    <row r="46" spans="1:12" ht="12.75">
      <c r="A46" s="25"/>
      <c r="B46" s="25"/>
      <c r="C46" s="25">
        <v>1404</v>
      </c>
      <c r="D46" s="43" t="s">
        <v>53</v>
      </c>
      <c r="E46" s="45">
        <v>100223</v>
      </c>
      <c r="F46" s="45">
        <v>179244</v>
      </c>
      <c r="G46" s="45">
        <v>25695.5</v>
      </c>
      <c r="H46" s="45"/>
      <c r="I46" s="45"/>
      <c r="J46" s="45"/>
      <c r="K46" s="45"/>
      <c r="L46" s="46">
        <f t="shared" si="0"/>
        <v>305162.5</v>
      </c>
    </row>
    <row r="47" spans="1:12" ht="12.75">
      <c r="A47" s="25"/>
      <c r="B47" s="25"/>
      <c r="C47" s="25">
        <v>1405</v>
      </c>
      <c r="D47" s="43" t="s">
        <v>54</v>
      </c>
      <c r="E47" s="45"/>
      <c r="F47" s="45"/>
      <c r="G47" s="45"/>
      <c r="H47" s="45"/>
      <c r="I47" s="45"/>
      <c r="J47" s="45"/>
      <c r="K47" s="45"/>
      <c r="L47" s="46">
        <f t="shared" si="0"/>
        <v>0</v>
      </c>
    </row>
    <row r="48" spans="1:12" ht="12.75">
      <c r="A48" s="25"/>
      <c r="B48" s="25"/>
      <c r="C48" s="25">
        <v>1406</v>
      </c>
      <c r="D48" s="43" t="s">
        <v>55</v>
      </c>
      <c r="E48" s="45"/>
      <c r="F48" s="45"/>
      <c r="G48" s="45"/>
      <c r="H48" s="45"/>
      <c r="I48" s="45"/>
      <c r="J48" s="45"/>
      <c r="K48" s="45"/>
      <c r="L48" s="46">
        <f t="shared" si="0"/>
        <v>0</v>
      </c>
    </row>
    <row r="49" spans="1:12" ht="12.75">
      <c r="A49" s="25"/>
      <c r="B49" s="25"/>
      <c r="C49" s="25">
        <v>1407</v>
      </c>
      <c r="D49" s="43" t="s">
        <v>56</v>
      </c>
      <c r="E49" s="45"/>
      <c r="F49" s="45"/>
      <c r="G49" s="45"/>
      <c r="H49" s="45"/>
      <c r="I49" s="45"/>
      <c r="J49" s="45"/>
      <c r="K49" s="45"/>
      <c r="L49" s="46">
        <f t="shared" si="0"/>
        <v>0</v>
      </c>
    </row>
    <row r="50" spans="1:12" ht="12.75">
      <c r="A50" s="25"/>
      <c r="B50" s="25"/>
      <c r="C50" s="25">
        <v>1408</v>
      </c>
      <c r="D50" s="43" t="s">
        <v>57</v>
      </c>
      <c r="E50" s="45"/>
      <c r="F50" s="45"/>
      <c r="G50" s="45"/>
      <c r="H50" s="45"/>
      <c r="I50" s="45"/>
      <c r="J50" s="45"/>
      <c r="K50" s="45"/>
      <c r="L50" s="46">
        <f t="shared" si="0"/>
        <v>0</v>
      </c>
    </row>
    <row r="51" spans="1:12" ht="12.75">
      <c r="A51" s="25"/>
      <c r="B51" s="25"/>
      <c r="C51" s="25">
        <v>1409</v>
      </c>
      <c r="D51" s="43" t="s">
        <v>58</v>
      </c>
      <c r="E51" s="45"/>
      <c r="F51" s="45"/>
      <c r="G51" s="45"/>
      <c r="H51" s="45"/>
      <c r="I51" s="45"/>
      <c r="J51" s="45"/>
      <c r="K51" s="45"/>
      <c r="L51" s="46">
        <f t="shared" si="0"/>
        <v>0</v>
      </c>
    </row>
    <row r="52" spans="1:12" ht="12.75">
      <c r="A52" s="25"/>
      <c r="B52" s="25"/>
      <c r="C52" s="25">
        <v>1410</v>
      </c>
      <c r="D52" s="43" t="s">
        <v>59</v>
      </c>
      <c r="E52" s="45"/>
      <c r="F52" s="45"/>
      <c r="G52" s="45"/>
      <c r="H52" s="45"/>
      <c r="I52" s="45"/>
      <c r="J52" s="45"/>
      <c r="K52" s="45"/>
      <c r="L52" s="46">
        <f t="shared" si="0"/>
        <v>0</v>
      </c>
    </row>
    <row r="53" spans="1:12" ht="12.75">
      <c r="A53" s="25"/>
      <c r="B53" s="25"/>
      <c r="C53" s="25">
        <v>1411</v>
      </c>
      <c r="D53" s="43" t="s">
        <v>60</v>
      </c>
      <c r="E53" s="45"/>
      <c r="F53" s="45"/>
      <c r="G53" s="45"/>
      <c r="H53" s="45"/>
      <c r="I53" s="45">
        <v>9813</v>
      </c>
      <c r="J53" s="45">
        <v>20935</v>
      </c>
      <c r="K53" s="45"/>
      <c r="L53" s="46">
        <f t="shared" si="0"/>
        <v>30748</v>
      </c>
    </row>
    <row r="54" spans="1:12" ht="12.75">
      <c r="A54" s="25"/>
      <c r="B54" s="25"/>
      <c r="C54" s="25">
        <v>1412</v>
      </c>
      <c r="D54" s="43" t="s">
        <v>61</v>
      </c>
      <c r="E54" s="45"/>
      <c r="F54" s="45"/>
      <c r="G54" s="45"/>
      <c r="H54" s="45"/>
      <c r="I54" s="45"/>
      <c r="J54" s="45"/>
      <c r="K54" s="45"/>
      <c r="L54" s="46">
        <f t="shared" si="0"/>
        <v>0</v>
      </c>
    </row>
    <row r="55" spans="1:12" ht="12.75">
      <c r="A55" s="25"/>
      <c r="B55" s="25"/>
      <c r="C55" s="25">
        <v>1413</v>
      </c>
      <c r="D55" s="43" t="s">
        <v>62</v>
      </c>
      <c r="E55" s="45"/>
      <c r="F55" s="45"/>
      <c r="G55" s="45"/>
      <c r="H55" s="45"/>
      <c r="I55" s="45"/>
      <c r="J55" s="45"/>
      <c r="K55" s="45"/>
      <c r="L55" s="46">
        <f t="shared" si="0"/>
        <v>0</v>
      </c>
    </row>
    <row r="56" spans="1:12" ht="12.75">
      <c r="A56" s="25"/>
      <c r="B56" s="25"/>
      <c r="C56" s="25">
        <v>1414</v>
      </c>
      <c r="D56" s="43" t="s">
        <v>63</v>
      </c>
      <c r="E56" s="45"/>
      <c r="F56" s="45"/>
      <c r="G56" s="45"/>
      <c r="H56" s="45"/>
      <c r="I56" s="45"/>
      <c r="J56" s="45"/>
      <c r="K56" s="45"/>
      <c r="L56" s="46">
        <f t="shared" si="0"/>
        <v>0</v>
      </c>
    </row>
    <row r="57" spans="1:12" ht="12.75">
      <c r="A57" s="25"/>
      <c r="B57" s="25"/>
      <c r="C57" s="25">
        <v>1415</v>
      </c>
      <c r="D57" s="43" t="s">
        <v>64</v>
      </c>
      <c r="E57" s="45"/>
      <c r="F57" s="45"/>
      <c r="G57" s="45"/>
      <c r="H57" s="45"/>
      <c r="I57" s="45"/>
      <c r="J57" s="45"/>
      <c r="K57" s="45"/>
      <c r="L57" s="46">
        <f t="shared" si="0"/>
        <v>0</v>
      </c>
    </row>
    <row r="58" spans="1:12" ht="12.75">
      <c r="A58" s="25"/>
      <c r="B58" s="25"/>
      <c r="C58" s="25">
        <v>1416</v>
      </c>
      <c r="D58" s="43" t="s">
        <v>65</v>
      </c>
      <c r="E58" s="45"/>
      <c r="F58" s="45"/>
      <c r="G58" s="45"/>
      <c r="H58" s="45"/>
      <c r="I58" s="45">
        <v>341746</v>
      </c>
      <c r="J58" s="45">
        <v>207736</v>
      </c>
      <c r="K58" s="45"/>
      <c r="L58" s="46">
        <f t="shared" si="0"/>
        <v>549482</v>
      </c>
    </row>
    <row r="59" spans="1:12" ht="12.75">
      <c r="A59" s="25"/>
      <c r="B59" s="25"/>
      <c r="C59" s="25">
        <v>1419</v>
      </c>
      <c r="D59" s="43" t="s">
        <v>66</v>
      </c>
      <c r="E59" s="45"/>
      <c r="F59" s="45"/>
      <c r="G59" s="45"/>
      <c r="H59" s="45"/>
      <c r="I59" s="45"/>
      <c r="J59" s="45"/>
      <c r="K59" s="45"/>
      <c r="L59" s="46">
        <f t="shared" si="0"/>
        <v>0</v>
      </c>
    </row>
    <row r="60" spans="1:12" ht="12.75">
      <c r="A60" s="25"/>
      <c r="B60" s="25"/>
      <c r="C60" s="25">
        <v>1421</v>
      </c>
      <c r="D60" s="43" t="s">
        <v>67</v>
      </c>
      <c r="E60" s="45"/>
      <c r="F60" s="45"/>
      <c r="G60" s="45"/>
      <c r="H60" s="45">
        <v>32796</v>
      </c>
      <c r="I60" s="45">
        <v>601770</v>
      </c>
      <c r="J60" s="45">
        <f>470036+699</f>
        <v>470735</v>
      </c>
      <c r="K60" s="45"/>
      <c r="L60" s="46">
        <f t="shared" si="0"/>
        <v>1105301</v>
      </c>
    </row>
    <row r="61" spans="1:12" ht="12.75">
      <c r="A61" s="25"/>
      <c r="B61" s="25"/>
      <c r="C61" s="25">
        <v>1429</v>
      </c>
      <c r="D61" s="43" t="s">
        <v>68</v>
      </c>
      <c r="E61" s="45"/>
      <c r="F61" s="45"/>
      <c r="G61" s="45"/>
      <c r="H61" s="45"/>
      <c r="I61" s="45"/>
      <c r="J61" s="45"/>
      <c r="K61" s="45"/>
      <c r="L61" s="46">
        <f t="shared" si="0"/>
        <v>0</v>
      </c>
    </row>
    <row r="62" spans="1:12" ht="12.75">
      <c r="A62" s="25"/>
      <c r="B62" s="25"/>
      <c r="C62" s="25">
        <v>1431</v>
      </c>
      <c r="D62" s="43" t="s">
        <v>69</v>
      </c>
      <c r="E62" s="45"/>
      <c r="F62" s="45"/>
      <c r="G62" s="45"/>
      <c r="H62" s="45"/>
      <c r="I62" s="45"/>
      <c r="J62" s="45"/>
      <c r="K62" s="45"/>
      <c r="L62" s="46">
        <f t="shared" si="0"/>
        <v>0</v>
      </c>
    </row>
    <row r="63" spans="1:12" ht="12.75">
      <c r="A63" s="25"/>
      <c r="B63" s="25"/>
      <c r="C63" s="25">
        <v>1451</v>
      </c>
      <c r="D63" s="43" t="s">
        <v>70</v>
      </c>
      <c r="E63" s="45"/>
      <c r="F63" s="45"/>
      <c r="G63" s="45"/>
      <c r="H63" s="45">
        <v>33763</v>
      </c>
      <c r="I63" s="45">
        <v>37045</v>
      </c>
      <c r="J63" s="45">
        <v>4836</v>
      </c>
      <c r="K63" s="45"/>
      <c r="L63" s="46">
        <f t="shared" si="0"/>
        <v>75644</v>
      </c>
    </row>
    <row r="64" spans="1:12" ht="12.75">
      <c r="A64" s="25"/>
      <c r="B64" s="25"/>
      <c r="C64" s="25">
        <v>1459</v>
      </c>
      <c r="D64" s="43" t="s">
        <v>71</v>
      </c>
      <c r="E64" s="45"/>
      <c r="F64" s="45"/>
      <c r="G64" s="45"/>
      <c r="H64" s="45"/>
      <c r="I64" s="45"/>
      <c r="J64" s="45"/>
      <c r="K64" s="45"/>
      <c r="L64" s="46">
        <f t="shared" si="0"/>
        <v>0</v>
      </c>
    </row>
    <row r="65" spans="1:12" ht="12.75">
      <c r="A65" s="25"/>
      <c r="B65" s="25"/>
      <c r="C65" s="25">
        <v>1460</v>
      </c>
      <c r="D65" s="43" t="s">
        <v>72</v>
      </c>
      <c r="E65" s="45"/>
      <c r="F65" s="45"/>
      <c r="G65" s="45"/>
      <c r="H65" s="45"/>
      <c r="I65" s="45"/>
      <c r="J65" s="45"/>
      <c r="K65" s="45"/>
      <c r="L65" s="46">
        <f t="shared" si="0"/>
        <v>0</v>
      </c>
    </row>
    <row r="66" spans="1:12" ht="12.75">
      <c r="A66" s="25"/>
      <c r="B66" s="25"/>
      <c r="C66" s="25">
        <v>1480</v>
      </c>
      <c r="D66" s="31" t="s">
        <v>149</v>
      </c>
      <c r="E66" s="45"/>
      <c r="F66" s="45"/>
      <c r="G66" s="45"/>
      <c r="H66" s="45"/>
      <c r="I66" s="45"/>
      <c r="J66" s="45"/>
      <c r="K66" s="45"/>
      <c r="L66" s="46">
        <f t="shared" si="0"/>
        <v>0</v>
      </c>
    </row>
    <row r="67" spans="1:12" ht="12.75">
      <c r="A67" s="25"/>
      <c r="B67" s="25"/>
      <c r="C67" s="25">
        <v>1501</v>
      </c>
      <c r="D67" s="43" t="s">
        <v>73</v>
      </c>
      <c r="E67" s="45"/>
      <c r="F67" s="45"/>
      <c r="G67" s="45"/>
      <c r="H67" s="45"/>
      <c r="I67" s="45"/>
      <c r="J67" s="45"/>
      <c r="K67" s="45"/>
      <c r="L67" s="46">
        <f t="shared" si="0"/>
        <v>0</v>
      </c>
    </row>
    <row r="68" spans="1:12" ht="12.75">
      <c r="A68" s="25"/>
      <c r="B68" s="25"/>
      <c r="C68" s="25">
        <v>1550</v>
      </c>
      <c r="D68" s="43" t="s">
        <v>74</v>
      </c>
      <c r="E68" s="45"/>
      <c r="F68" s="45"/>
      <c r="G68" s="45"/>
      <c r="H68" s="45"/>
      <c r="I68" s="45"/>
      <c r="J68" s="45"/>
      <c r="K68" s="45"/>
      <c r="L68" s="46">
        <f t="shared" si="0"/>
        <v>0</v>
      </c>
    </row>
    <row r="69" spans="1:12" ht="12.75">
      <c r="A69" s="25"/>
      <c r="B69" s="25"/>
      <c r="C69" s="25">
        <v>1601</v>
      </c>
      <c r="D69" s="43" t="s">
        <v>75</v>
      </c>
      <c r="E69" s="45"/>
      <c r="F69" s="45"/>
      <c r="G69" s="45"/>
      <c r="H69" s="45"/>
      <c r="I69" s="45"/>
      <c r="J69" s="45">
        <v>142269</v>
      </c>
      <c r="K69" s="45"/>
      <c r="L69" s="46">
        <f t="shared" si="0"/>
        <v>142269</v>
      </c>
    </row>
    <row r="70" spans="1:12" ht="12.75">
      <c r="A70" s="25"/>
      <c r="B70" s="25"/>
      <c r="C70" s="25">
        <v>1701</v>
      </c>
      <c r="D70" s="43" t="s">
        <v>133</v>
      </c>
      <c r="E70" s="45"/>
      <c r="F70" s="45"/>
      <c r="G70" s="45"/>
      <c r="H70" s="45"/>
      <c r="I70" s="45"/>
      <c r="J70" s="45"/>
      <c r="K70" s="45"/>
      <c r="L70" s="46">
        <f t="shared" si="0"/>
        <v>0</v>
      </c>
    </row>
    <row r="71" spans="1:12" ht="12.75">
      <c r="A71" s="25"/>
      <c r="B71" s="25"/>
      <c r="C71" s="25">
        <v>1702</v>
      </c>
      <c r="D71" s="43" t="s">
        <v>134</v>
      </c>
      <c r="E71" s="45"/>
      <c r="F71" s="45"/>
      <c r="G71" s="45"/>
      <c r="H71" s="45"/>
      <c r="I71" s="45"/>
      <c r="J71" s="45"/>
      <c r="K71" s="45"/>
      <c r="L71" s="46">
        <f t="shared" si="0"/>
        <v>0</v>
      </c>
    </row>
    <row r="72" spans="1:12" ht="12.75">
      <c r="A72" s="25"/>
      <c r="B72" s="25"/>
      <c r="C72" s="25">
        <v>1801</v>
      </c>
      <c r="D72" s="43" t="s">
        <v>77</v>
      </c>
      <c r="E72" s="45">
        <v>53047</v>
      </c>
      <c r="F72" s="45"/>
      <c r="G72" s="45"/>
      <c r="H72" s="45"/>
      <c r="I72" s="45"/>
      <c r="J72" s="45"/>
      <c r="K72" s="45"/>
      <c r="L72" s="46">
        <f t="shared" si="0"/>
        <v>53047</v>
      </c>
    </row>
    <row r="73" spans="1:12" ht="12.75">
      <c r="A73" s="25"/>
      <c r="B73" s="25"/>
      <c r="C73" s="25">
        <v>1802</v>
      </c>
      <c r="D73" s="43" t="s">
        <v>78</v>
      </c>
      <c r="E73" s="45"/>
      <c r="F73" s="45"/>
      <c r="G73" s="45"/>
      <c r="H73" s="45"/>
      <c r="I73" s="45"/>
      <c r="J73" s="45">
        <v>36819</v>
      </c>
      <c r="K73" s="45"/>
      <c r="L73" s="46">
        <f t="shared" si="0"/>
        <v>36819</v>
      </c>
    </row>
    <row r="74" spans="1:12" ht="12.75">
      <c r="A74" s="25"/>
      <c r="B74" s="25"/>
      <c r="C74" s="25">
        <v>1803</v>
      </c>
      <c r="D74" s="43" t="s">
        <v>79</v>
      </c>
      <c r="E74" s="45"/>
      <c r="F74" s="45">
        <v>8074</v>
      </c>
      <c r="G74" s="45">
        <v>5465</v>
      </c>
      <c r="H74" s="45"/>
      <c r="I74" s="45"/>
      <c r="J74" s="45"/>
      <c r="K74" s="45"/>
      <c r="L74" s="46">
        <f t="shared" si="0"/>
        <v>13539</v>
      </c>
    </row>
    <row r="75" spans="1:12" ht="12.75">
      <c r="A75" s="25"/>
      <c r="B75" s="25"/>
      <c r="C75" s="25">
        <v>1804</v>
      </c>
      <c r="D75" s="43" t="s">
        <v>80</v>
      </c>
      <c r="E75" s="45"/>
      <c r="F75" s="45"/>
      <c r="G75" s="45"/>
      <c r="H75" s="45"/>
      <c r="I75" s="45"/>
      <c r="J75" s="45"/>
      <c r="K75" s="45"/>
      <c r="L75" s="46">
        <f t="shared" si="0"/>
        <v>0</v>
      </c>
    </row>
    <row r="76" spans="1:12" ht="12.75">
      <c r="A76" s="25"/>
      <c r="B76" s="25"/>
      <c r="C76" s="25">
        <v>1805</v>
      </c>
      <c r="D76" s="43" t="s">
        <v>81</v>
      </c>
      <c r="E76" s="45"/>
      <c r="F76" s="45"/>
      <c r="G76" s="45"/>
      <c r="H76" s="45"/>
      <c r="I76" s="45"/>
      <c r="J76" s="45"/>
      <c r="K76" s="45"/>
      <c r="L76" s="46">
        <f t="shared" si="0"/>
        <v>0</v>
      </c>
    </row>
    <row r="77" spans="1:12" ht="12.75">
      <c r="A77" s="25"/>
      <c r="B77" s="25"/>
      <c r="C77" s="51">
        <v>1806</v>
      </c>
      <c r="D77" s="52" t="s">
        <v>146</v>
      </c>
      <c r="E77" s="45"/>
      <c r="F77" s="45"/>
      <c r="G77" s="45"/>
      <c r="H77" s="45"/>
      <c r="I77" s="45">
        <v>28524</v>
      </c>
      <c r="J77" s="45">
        <v>55316</v>
      </c>
      <c r="K77" s="45"/>
      <c r="L77" s="46">
        <f t="shared" si="0"/>
        <v>83840</v>
      </c>
    </row>
    <row r="78" spans="1:12" ht="12.75">
      <c r="A78" s="25"/>
      <c r="B78" s="25"/>
      <c r="C78" s="25">
        <v>1808</v>
      </c>
      <c r="D78" s="43" t="s">
        <v>82</v>
      </c>
      <c r="E78" s="45"/>
      <c r="F78" s="45"/>
      <c r="G78" s="45"/>
      <c r="H78" s="45"/>
      <c r="I78" s="45"/>
      <c r="J78" s="45"/>
      <c r="K78" s="45"/>
      <c r="L78" s="46">
        <f t="shared" si="0"/>
        <v>0</v>
      </c>
    </row>
    <row r="79" spans="1:12" ht="12.75">
      <c r="A79" s="25"/>
      <c r="B79" s="25"/>
      <c r="C79" s="25">
        <v>1810</v>
      </c>
      <c r="D79" s="43" t="s">
        <v>83</v>
      </c>
      <c r="E79" s="45"/>
      <c r="F79" s="45"/>
      <c r="G79" s="45"/>
      <c r="H79" s="45"/>
      <c r="I79" s="45"/>
      <c r="J79" s="45"/>
      <c r="K79" s="45"/>
      <c r="L79" s="46">
        <f t="shared" si="0"/>
        <v>0</v>
      </c>
    </row>
    <row r="80" spans="1:12" ht="12.75">
      <c r="A80" s="25"/>
      <c r="B80" s="25"/>
      <c r="C80" s="25">
        <v>1815</v>
      </c>
      <c r="D80" s="43" t="s">
        <v>84</v>
      </c>
      <c r="E80" s="45"/>
      <c r="F80" s="45"/>
      <c r="G80" s="45"/>
      <c r="H80" s="45"/>
      <c r="I80" s="45"/>
      <c r="J80" s="45"/>
      <c r="K80" s="45"/>
      <c r="L80" s="46">
        <f t="shared" si="0"/>
        <v>0</v>
      </c>
    </row>
    <row r="81" spans="1:12" ht="12.75">
      <c r="A81" s="25"/>
      <c r="B81" s="25"/>
      <c r="C81" s="25">
        <v>1859</v>
      </c>
      <c r="D81" s="43" t="s">
        <v>85</v>
      </c>
      <c r="E81" s="45"/>
      <c r="F81" s="45"/>
      <c r="G81" s="45"/>
      <c r="H81" s="45"/>
      <c r="I81" s="45"/>
      <c r="J81" s="45"/>
      <c r="K81" s="45"/>
      <c r="L81" s="46">
        <f t="shared" si="0"/>
        <v>0</v>
      </c>
    </row>
    <row r="82" spans="1:12" ht="12.75">
      <c r="A82" s="25"/>
      <c r="B82" s="25"/>
      <c r="C82" s="25">
        <v>1901</v>
      </c>
      <c r="D82" s="43" t="s">
        <v>86</v>
      </c>
      <c r="E82" s="45">
        <v>187097</v>
      </c>
      <c r="F82" s="45">
        <v>536784</v>
      </c>
      <c r="G82" s="45">
        <v>524031</v>
      </c>
      <c r="H82" s="45">
        <v>466110</v>
      </c>
      <c r="I82" s="45">
        <v>286904</v>
      </c>
      <c r="J82" s="45">
        <v>342716</v>
      </c>
      <c r="K82" s="45"/>
      <c r="L82" s="46">
        <f t="shared" si="0"/>
        <v>2343642</v>
      </c>
    </row>
    <row r="83" spans="1:12" ht="12.75">
      <c r="A83" s="25"/>
      <c r="B83" s="25" t="s">
        <v>87</v>
      </c>
      <c r="C83" s="25"/>
      <c r="D83" s="43" t="s">
        <v>88</v>
      </c>
      <c r="E83" s="45"/>
      <c r="F83" s="45"/>
      <c r="G83" s="45"/>
      <c r="H83" s="45"/>
      <c r="I83" s="45"/>
      <c r="J83" s="45"/>
      <c r="K83" s="45"/>
      <c r="L83" s="46">
        <f t="shared" si="0"/>
        <v>0</v>
      </c>
    </row>
    <row r="84" spans="1:12" ht="12.75">
      <c r="A84" s="25"/>
      <c r="B84" s="25"/>
      <c r="C84" s="25">
        <v>2001</v>
      </c>
      <c r="D84" s="43" t="s">
        <v>89</v>
      </c>
      <c r="E84" s="45"/>
      <c r="F84" s="45"/>
      <c r="G84" s="45"/>
      <c r="H84" s="45"/>
      <c r="I84" s="45"/>
      <c r="J84" s="45"/>
      <c r="K84" s="45"/>
      <c r="L84" s="46">
        <f t="shared" si="0"/>
        <v>0</v>
      </c>
    </row>
    <row r="85" spans="1:12" ht="12.75">
      <c r="A85" s="25"/>
      <c r="B85" s="25"/>
      <c r="C85" s="25">
        <v>2501</v>
      </c>
      <c r="D85" s="43" t="s">
        <v>90</v>
      </c>
      <c r="E85" s="45"/>
      <c r="F85" s="45"/>
      <c r="G85" s="45"/>
      <c r="H85" s="45"/>
      <c r="I85" s="45"/>
      <c r="J85" s="45"/>
      <c r="K85" s="45"/>
      <c r="L85" s="46">
        <f t="shared" si="0"/>
        <v>0</v>
      </c>
    </row>
    <row r="86" spans="1:12" ht="12.75">
      <c r="A86" s="25"/>
      <c r="B86" s="25" t="s">
        <v>91</v>
      </c>
      <c r="C86" s="25"/>
      <c r="D86" s="43" t="s">
        <v>92</v>
      </c>
      <c r="E86" s="45"/>
      <c r="F86" s="45"/>
      <c r="G86" s="45"/>
      <c r="H86" s="45"/>
      <c r="I86" s="45"/>
      <c r="J86" s="45"/>
      <c r="K86" s="45"/>
      <c r="L86" s="46">
        <f t="shared" si="0"/>
        <v>0</v>
      </c>
    </row>
    <row r="87" spans="1:12" ht="12.75">
      <c r="A87" s="25"/>
      <c r="B87" s="25"/>
      <c r="C87" s="25">
        <v>3101</v>
      </c>
      <c r="D87" s="43" t="s">
        <v>93</v>
      </c>
      <c r="E87" s="45"/>
      <c r="F87" s="45"/>
      <c r="G87" s="45"/>
      <c r="H87" s="45"/>
      <c r="I87" s="45"/>
      <c r="J87" s="45"/>
      <c r="K87" s="45"/>
      <c r="L87" s="46">
        <f t="shared" si="0"/>
        <v>0</v>
      </c>
    </row>
    <row r="88" spans="1:12" ht="12.75">
      <c r="A88" s="25"/>
      <c r="B88" s="25"/>
      <c r="C88" s="25">
        <v>3901</v>
      </c>
      <c r="D88" s="43" t="s">
        <v>94</v>
      </c>
      <c r="E88" s="45"/>
      <c r="F88" s="45"/>
      <c r="G88" s="45"/>
      <c r="H88" s="45"/>
      <c r="I88" s="45"/>
      <c r="J88" s="45"/>
      <c r="K88" s="45"/>
      <c r="L88" s="46">
        <f t="shared" si="0"/>
        <v>0</v>
      </c>
    </row>
    <row r="89" spans="1:12" ht="12.75">
      <c r="A89" s="25"/>
      <c r="B89" s="25" t="s">
        <v>95</v>
      </c>
      <c r="C89" s="25"/>
      <c r="D89" s="43" t="s">
        <v>96</v>
      </c>
      <c r="E89" s="45"/>
      <c r="F89" s="45"/>
      <c r="G89" s="45"/>
      <c r="H89" s="45"/>
      <c r="I89" s="45"/>
      <c r="J89" s="45"/>
      <c r="K89" s="45"/>
      <c r="L89" s="46">
        <f t="shared" si="0"/>
        <v>0</v>
      </c>
    </row>
    <row r="90" spans="1:12" ht="12.75">
      <c r="A90" s="25"/>
      <c r="B90" s="25"/>
      <c r="C90" s="25">
        <v>4101</v>
      </c>
      <c r="D90" s="43" t="s">
        <v>97</v>
      </c>
      <c r="E90" s="45"/>
      <c r="F90" s="45"/>
      <c r="G90" s="45"/>
      <c r="H90" s="45"/>
      <c r="I90" s="45"/>
      <c r="J90" s="45"/>
      <c r="K90" s="45"/>
      <c r="L90" s="46">
        <f aca="true" t="shared" si="1" ref="L90:L122">SUM(E90:J90)</f>
        <v>0</v>
      </c>
    </row>
    <row r="91" spans="1:12" ht="12.75">
      <c r="A91" s="25"/>
      <c r="B91" s="25"/>
      <c r="C91" s="25">
        <v>4301</v>
      </c>
      <c r="D91" s="43" t="s">
        <v>98</v>
      </c>
      <c r="E91" s="45"/>
      <c r="F91" s="45"/>
      <c r="G91" s="45"/>
      <c r="H91" s="45"/>
      <c r="I91" s="45"/>
      <c r="J91" s="45"/>
      <c r="K91" s="45"/>
      <c r="L91" s="46">
        <f t="shared" si="1"/>
        <v>0</v>
      </c>
    </row>
    <row r="92" spans="1:12" ht="12.75">
      <c r="A92" s="25"/>
      <c r="B92" s="25"/>
      <c r="C92" s="25">
        <v>4350</v>
      </c>
      <c r="D92" s="43" t="s">
        <v>99</v>
      </c>
      <c r="E92" s="45"/>
      <c r="F92" s="45"/>
      <c r="G92" s="45"/>
      <c r="H92" s="45"/>
      <c r="I92" s="45"/>
      <c r="J92" s="45"/>
      <c r="K92" s="45"/>
      <c r="L92" s="46">
        <f t="shared" si="1"/>
        <v>0</v>
      </c>
    </row>
    <row r="93" spans="1:12" ht="12.75">
      <c r="A93" s="25"/>
      <c r="B93" s="25"/>
      <c r="C93" s="25">
        <v>4401</v>
      </c>
      <c r="D93" s="43" t="s">
        <v>100</v>
      </c>
      <c r="E93" s="45"/>
      <c r="F93" s="45"/>
      <c r="G93" s="45"/>
      <c r="H93" s="45"/>
      <c r="I93" s="45"/>
      <c r="J93" s="45"/>
      <c r="K93" s="45"/>
      <c r="L93" s="46">
        <f t="shared" si="1"/>
        <v>0</v>
      </c>
    </row>
    <row r="94" spans="1:12" ht="12.75">
      <c r="A94" s="25"/>
      <c r="B94" s="25"/>
      <c r="C94" s="25">
        <v>4501</v>
      </c>
      <c r="D94" s="43" t="s">
        <v>101</v>
      </c>
      <c r="E94" s="45"/>
      <c r="F94" s="45"/>
      <c r="G94" s="45"/>
      <c r="H94" s="45"/>
      <c r="I94" s="45"/>
      <c r="J94" s="45"/>
      <c r="K94" s="45"/>
      <c r="L94" s="46">
        <f t="shared" si="1"/>
        <v>0</v>
      </c>
    </row>
    <row r="95" spans="1:12" ht="12.75">
      <c r="A95" s="25"/>
      <c r="B95" s="25"/>
      <c r="C95" s="25">
        <v>4601</v>
      </c>
      <c r="D95" s="43" t="s">
        <v>102</v>
      </c>
      <c r="E95" s="45"/>
      <c r="F95" s="45"/>
      <c r="G95" s="45"/>
      <c r="H95" s="45"/>
      <c r="I95" s="45"/>
      <c r="J95" s="45"/>
      <c r="K95" s="45"/>
      <c r="L95" s="46">
        <f t="shared" si="1"/>
        <v>0</v>
      </c>
    </row>
    <row r="96" spans="1:12" ht="12.75">
      <c r="A96" s="25"/>
      <c r="B96" s="25" t="s">
        <v>103</v>
      </c>
      <c r="C96" s="25"/>
      <c r="D96" s="43" t="s">
        <v>104</v>
      </c>
      <c r="E96" s="45"/>
      <c r="F96" s="45"/>
      <c r="G96" s="45"/>
      <c r="H96" s="45"/>
      <c r="I96" s="45"/>
      <c r="J96" s="45"/>
      <c r="K96" s="45"/>
      <c r="L96" s="46">
        <f t="shared" si="1"/>
        <v>0</v>
      </c>
    </row>
    <row r="97" spans="1:12" ht="12.75">
      <c r="A97" s="25"/>
      <c r="B97" s="25"/>
      <c r="C97" s="25">
        <v>5801</v>
      </c>
      <c r="D97" s="43" t="s">
        <v>105</v>
      </c>
      <c r="E97" s="45"/>
      <c r="F97" s="45"/>
      <c r="G97" s="45"/>
      <c r="H97" s="45"/>
      <c r="I97" s="45"/>
      <c r="J97" s="45"/>
      <c r="K97" s="45"/>
      <c r="L97" s="46">
        <f t="shared" si="1"/>
        <v>0</v>
      </c>
    </row>
    <row r="98" spans="1:12" ht="12.75">
      <c r="A98" s="25"/>
      <c r="B98" s="25" t="s">
        <v>106</v>
      </c>
      <c r="C98" s="25"/>
      <c r="D98" s="43" t="s">
        <v>107</v>
      </c>
      <c r="E98" s="45"/>
      <c r="F98" s="45"/>
      <c r="G98" s="45"/>
      <c r="H98" s="45"/>
      <c r="I98" s="45"/>
      <c r="J98" s="45"/>
      <c r="K98" s="45"/>
      <c r="L98" s="46">
        <f t="shared" si="1"/>
        <v>0</v>
      </c>
    </row>
    <row r="99" spans="1:12" ht="12.75">
      <c r="A99" s="25"/>
      <c r="B99" s="25"/>
      <c r="C99" s="25">
        <v>6163</v>
      </c>
      <c r="D99" s="43" t="s">
        <v>108</v>
      </c>
      <c r="E99" s="45"/>
      <c r="F99" s="45"/>
      <c r="G99" s="45"/>
      <c r="H99" s="45"/>
      <c r="I99" s="45"/>
      <c r="J99" s="45"/>
      <c r="K99" s="45"/>
      <c r="L99" s="46">
        <f t="shared" si="1"/>
        <v>0</v>
      </c>
    </row>
    <row r="100" spans="1:12" ht="12.75">
      <c r="A100" s="25"/>
      <c r="B100" s="25"/>
      <c r="C100" s="25">
        <v>6201</v>
      </c>
      <c r="D100" s="43" t="s">
        <v>109</v>
      </c>
      <c r="E100" s="45"/>
      <c r="F100" s="45"/>
      <c r="G100" s="45"/>
      <c r="H100" s="45"/>
      <c r="I100" s="45"/>
      <c r="J100" s="45"/>
      <c r="K100" s="45"/>
      <c r="L100" s="46">
        <f t="shared" si="1"/>
        <v>0</v>
      </c>
    </row>
    <row r="101" spans="1:12" ht="12.75">
      <c r="A101" s="25"/>
      <c r="B101" s="25"/>
      <c r="C101" s="25">
        <v>6501</v>
      </c>
      <c r="D101" s="43" t="s">
        <v>110</v>
      </c>
      <c r="E101" s="45"/>
      <c r="F101" s="45"/>
      <c r="G101" s="45"/>
      <c r="H101" s="45"/>
      <c r="I101" s="45"/>
      <c r="J101" s="45"/>
      <c r="K101" s="45"/>
      <c r="L101" s="46">
        <f t="shared" si="1"/>
        <v>0</v>
      </c>
    </row>
    <row r="102" spans="1:12" ht="12.75">
      <c r="A102" s="25"/>
      <c r="B102" s="25" t="s">
        <v>111</v>
      </c>
      <c r="C102" s="25"/>
      <c r="D102" s="43" t="s">
        <v>112</v>
      </c>
      <c r="E102" s="45"/>
      <c r="F102" s="45"/>
      <c r="G102" s="45"/>
      <c r="H102" s="45"/>
      <c r="I102" s="45"/>
      <c r="J102" s="45"/>
      <c r="K102" s="45"/>
      <c r="L102" s="46">
        <f t="shared" si="1"/>
        <v>0</v>
      </c>
    </row>
    <row r="103" spans="1:12" ht="12.75">
      <c r="A103" s="25"/>
      <c r="B103" s="25"/>
      <c r="C103" s="25">
        <v>7101</v>
      </c>
      <c r="D103" s="43" t="s">
        <v>113</v>
      </c>
      <c r="E103" s="45"/>
      <c r="F103" s="45"/>
      <c r="G103" s="45"/>
      <c r="H103" s="45"/>
      <c r="I103" s="45"/>
      <c r="J103" s="45"/>
      <c r="K103" s="45"/>
      <c r="L103" s="46">
        <f t="shared" si="1"/>
        <v>0</v>
      </c>
    </row>
    <row r="104" spans="1:12" ht="12.75">
      <c r="A104" s="25"/>
      <c r="B104" s="25"/>
      <c r="C104" s="25">
        <v>7301</v>
      </c>
      <c r="D104" s="43" t="s">
        <v>114</v>
      </c>
      <c r="E104" s="45"/>
      <c r="F104" s="45"/>
      <c r="G104" s="45"/>
      <c r="H104" s="45"/>
      <c r="I104" s="45"/>
      <c r="J104" s="45"/>
      <c r="K104" s="45"/>
      <c r="L104" s="46">
        <f t="shared" si="1"/>
        <v>0</v>
      </c>
    </row>
    <row r="105" spans="1:12" ht="12.75">
      <c r="A105" s="25"/>
      <c r="B105" s="25"/>
      <c r="C105" s="25">
        <v>7401</v>
      </c>
      <c r="D105" s="43" t="s">
        <v>115</v>
      </c>
      <c r="E105" s="45"/>
      <c r="F105" s="45"/>
      <c r="G105" s="45"/>
      <c r="H105" s="45"/>
      <c r="I105" s="45"/>
      <c r="J105" s="45"/>
      <c r="K105" s="45"/>
      <c r="L105" s="46">
        <f t="shared" si="1"/>
        <v>0</v>
      </c>
    </row>
    <row r="106" spans="1:12" ht="12.75">
      <c r="A106" s="25"/>
      <c r="B106" s="25"/>
      <c r="C106" s="25">
        <v>7501</v>
      </c>
      <c r="D106" s="43" t="s">
        <v>116</v>
      </c>
      <c r="E106" s="45"/>
      <c r="F106" s="45"/>
      <c r="G106" s="45"/>
      <c r="H106" s="45"/>
      <c r="I106" s="45"/>
      <c r="J106" s="45"/>
      <c r="K106" s="45"/>
      <c r="L106" s="46">
        <f t="shared" si="1"/>
        <v>0</v>
      </c>
    </row>
    <row r="107" spans="1:12" ht="12.75">
      <c r="A107" s="25"/>
      <c r="B107" s="25" t="s">
        <v>24</v>
      </c>
      <c r="C107" s="25"/>
      <c r="D107" s="43" t="s">
        <v>117</v>
      </c>
      <c r="E107" s="45"/>
      <c r="F107" s="45"/>
      <c r="G107" s="45"/>
      <c r="H107" s="45"/>
      <c r="I107" s="45"/>
      <c r="J107" s="45"/>
      <c r="K107" s="45"/>
      <c r="L107" s="46">
        <f t="shared" si="1"/>
        <v>0</v>
      </c>
    </row>
    <row r="108" spans="1:12" ht="12.75">
      <c r="A108" s="25"/>
      <c r="B108" s="25"/>
      <c r="C108" s="25">
        <v>8101</v>
      </c>
      <c r="D108" s="43" t="s">
        <v>144</v>
      </c>
      <c r="E108" s="45"/>
      <c r="F108" s="45"/>
      <c r="G108" s="45"/>
      <c r="H108" s="45"/>
      <c r="I108" s="45"/>
      <c r="J108" s="45"/>
      <c r="K108" s="45"/>
      <c r="L108" s="46">
        <f t="shared" si="1"/>
        <v>0</v>
      </c>
    </row>
    <row r="109" spans="1:12" ht="12.75">
      <c r="A109" s="25"/>
      <c r="B109" s="25"/>
      <c r="C109" s="51">
        <v>8102</v>
      </c>
      <c r="D109" s="52" t="s">
        <v>145</v>
      </c>
      <c r="E109" s="45">
        <v>58590</v>
      </c>
      <c r="F109" s="45">
        <v>92821</v>
      </c>
      <c r="G109" s="45">
        <v>103909</v>
      </c>
      <c r="H109" s="45">
        <v>174539</v>
      </c>
      <c r="I109" s="45">
        <f>232717+554</f>
        <v>233271</v>
      </c>
      <c r="J109" s="45">
        <f>139219+28116</f>
        <v>167335</v>
      </c>
      <c r="K109" s="45"/>
      <c r="L109" s="46">
        <f t="shared" si="1"/>
        <v>830465</v>
      </c>
    </row>
    <row r="110" spans="1:12" ht="12.75">
      <c r="A110" s="25"/>
      <c r="B110" s="25"/>
      <c r="C110" s="53">
        <v>8202</v>
      </c>
      <c r="D110" s="43" t="s">
        <v>118</v>
      </c>
      <c r="F110" s="45"/>
      <c r="G110" s="45"/>
      <c r="H110" s="45"/>
      <c r="I110" s="45"/>
      <c r="J110" s="45"/>
      <c r="K110" s="45"/>
      <c r="L110" s="46">
        <f t="shared" si="1"/>
        <v>0</v>
      </c>
    </row>
    <row r="111" spans="1:12" ht="12.75">
      <c r="A111" s="25"/>
      <c r="B111" s="25"/>
      <c r="C111" s="25">
        <v>8203</v>
      </c>
      <c r="D111" s="43" t="s">
        <v>119</v>
      </c>
      <c r="E111" s="45"/>
      <c r="F111" s="45"/>
      <c r="G111" s="45"/>
      <c r="H111" s="45"/>
      <c r="I111" s="45"/>
      <c r="J111" s="45"/>
      <c r="K111" s="45"/>
      <c r="L111" s="46">
        <f t="shared" si="1"/>
        <v>0</v>
      </c>
    </row>
    <row r="112" spans="1:12" ht="12.75">
      <c r="A112" s="25"/>
      <c r="B112" s="25"/>
      <c r="C112" s="25">
        <v>8204</v>
      </c>
      <c r="D112" s="43" t="s">
        <v>120</v>
      </c>
      <c r="E112" s="45"/>
      <c r="F112" s="45"/>
      <c r="G112" s="45"/>
      <c r="H112" s="45"/>
      <c r="I112" s="45"/>
      <c r="J112" s="45"/>
      <c r="K112" s="45"/>
      <c r="L112" s="46">
        <f t="shared" si="1"/>
        <v>0</v>
      </c>
    </row>
    <row r="113" spans="1:12" ht="12.75">
      <c r="A113" s="25"/>
      <c r="B113" s="25"/>
      <c r="C113" s="25">
        <v>8205</v>
      </c>
      <c r="D113" s="43" t="s">
        <v>121</v>
      </c>
      <c r="E113" s="45"/>
      <c r="F113" s="45"/>
      <c r="G113" s="45"/>
      <c r="H113" s="45"/>
      <c r="I113" s="45"/>
      <c r="J113" s="45"/>
      <c r="K113" s="45"/>
      <c r="L113" s="46">
        <f t="shared" si="1"/>
        <v>0</v>
      </c>
    </row>
    <row r="114" spans="1:12" ht="12.75">
      <c r="A114" s="25"/>
      <c r="B114" s="25"/>
      <c r="C114" s="25">
        <v>8210</v>
      </c>
      <c r="D114" s="43" t="s">
        <v>122</v>
      </c>
      <c r="E114" s="45"/>
      <c r="F114" s="45"/>
      <c r="G114" s="45"/>
      <c r="H114" s="45"/>
      <c r="I114" s="45"/>
      <c r="J114" s="45"/>
      <c r="K114" s="45"/>
      <c r="L114" s="46">
        <f t="shared" si="1"/>
        <v>0</v>
      </c>
    </row>
    <row r="115" spans="1:12" ht="12.75">
      <c r="A115" s="25"/>
      <c r="B115" s="25"/>
      <c r="C115" s="25">
        <v>8215</v>
      </c>
      <c r="D115" s="43" t="s">
        <v>123</v>
      </c>
      <c r="E115" s="45"/>
      <c r="F115" s="45"/>
      <c r="G115" s="45"/>
      <c r="H115" s="45"/>
      <c r="I115" s="45"/>
      <c r="J115" s="45"/>
      <c r="K115" s="45"/>
      <c r="L115" s="46">
        <f t="shared" si="1"/>
        <v>0</v>
      </c>
    </row>
    <row r="116" spans="1:12" ht="12.75">
      <c r="A116" s="25"/>
      <c r="B116" s="25"/>
      <c r="C116" s="25">
        <v>8220</v>
      </c>
      <c r="D116" s="43" t="s">
        <v>124</v>
      </c>
      <c r="E116" s="45"/>
      <c r="F116" s="45"/>
      <c r="G116" s="45"/>
      <c r="H116" s="45"/>
      <c r="I116" s="45"/>
      <c r="J116" s="45"/>
      <c r="K116" s="45"/>
      <c r="L116" s="46">
        <f t="shared" si="1"/>
        <v>0</v>
      </c>
    </row>
    <row r="117" spans="1:12" ht="12.75">
      <c r="A117" s="25"/>
      <c r="B117" s="25"/>
      <c r="C117" s="25">
        <v>8221</v>
      </c>
      <c r="D117" s="43" t="s">
        <v>125</v>
      </c>
      <c r="E117" s="45"/>
      <c r="F117" s="45"/>
      <c r="G117" s="45"/>
      <c r="H117" s="45"/>
      <c r="I117" s="45"/>
      <c r="J117" s="45">
        <v>38606</v>
      </c>
      <c r="K117" s="45"/>
      <c r="L117" s="46">
        <f t="shared" si="1"/>
        <v>38606</v>
      </c>
    </row>
    <row r="118" spans="1:12" ht="12.75">
      <c r="A118" s="25"/>
      <c r="B118" s="25"/>
      <c r="C118" s="25">
        <v>8222</v>
      </c>
      <c r="D118" s="43" t="s">
        <v>126</v>
      </c>
      <c r="E118" s="45"/>
      <c r="F118" s="45"/>
      <c r="G118" s="45"/>
      <c r="H118" s="45"/>
      <c r="I118" s="45"/>
      <c r="J118" s="45"/>
      <c r="K118" s="45"/>
      <c r="L118" s="46">
        <f t="shared" si="1"/>
        <v>0</v>
      </c>
    </row>
    <row r="119" spans="1:12" ht="12.75">
      <c r="A119" s="25"/>
      <c r="B119" s="25"/>
      <c r="C119" s="25">
        <v>8401</v>
      </c>
      <c r="D119" s="43" t="s">
        <v>143</v>
      </c>
      <c r="E119" s="45"/>
      <c r="F119" s="45"/>
      <c r="G119" s="45"/>
      <c r="H119" s="45"/>
      <c r="I119" s="45"/>
      <c r="J119" s="45"/>
      <c r="K119" s="45"/>
      <c r="L119" s="46">
        <f t="shared" si="1"/>
        <v>0</v>
      </c>
    </row>
    <row r="120" spans="1:12" ht="12.75">
      <c r="A120" s="25"/>
      <c r="B120" s="25"/>
      <c r="C120" s="51">
        <v>8402</v>
      </c>
      <c r="D120" s="52" t="s">
        <v>142</v>
      </c>
      <c r="E120" s="45">
        <v>40984</v>
      </c>
      <c r="F120" s="45">
        <v>105484</v>
      </c>
      <c r="G120" s="45"/>
      <c r="H120" s="45"/>
      <c r="I120" s="45"/>
      <c r="J120" s="45"/>
      <c r="K120" s="45"/>
      <c r="L120" s="46">
        <f t="shared" si="1"/>
        <v>146468</v>
      </c>
    </row>
    <row r="121" spans="1:12" ht="12.75">
      <c r="A121" s="25"/>
      <c r="B121" s="25"/>
      <c r="C121" s="25">
        <v>8501</v>
      </c>
      <c r="D121" s="43" t="s">
        <v>127</v>
      </c>
      <c r="E121" s="45"/>
      <c r="F121" s="45"/>
      <c r="G121" s="45"/>
      <c r="H121" s="45"/>
      <c r="I121" s="45"/>
      <c r="J121" s="45"/>
      <c r="K121" s="45"/>
      <c r="L121" s="46">
        <f t="shared" si="1"/>
        <v>0</v>
      </c>
    </row>
    <row r="122" spans="1:12" ht="12.75">
      <c r="A122" s="25"/>
      <c r="B122" s="25"/>
      <c r="C122" s="25">
        <v>8998</v>
      </c>
      <c r="D122" s="43" t="s">
        <v>128</v>
      </c>
      <c r="E122" s="45"/>
      <c r="F122" s="45"/>
      <c r="G122" s="45"/>
      <c r="H122" s="45"/>
      <c r="I122" s="45"/>
      <c r="J122" s="45"/>
      <c r="K122" s="45"/>
      <c r="L122" s="46">
        <f t="shared" si="1"/>
        <v>0</v>
      </c>
    </row>
    <row r="124" spans="5:12" ht="12.75">
      <c r="E124" s="46">
        <f>SUM(E25:E122)</f>
        <v>1146370</v>
      </c>
      <c r="F124" s="46">
        <f aca="true" t="shared" si="2" ref="F124:L124">SUM(F25:F122)</f>
        <v>2847423</v>
      </c>
      <c r="G124" s="46">
        <f t="shared" si="2"/>
        <v>2160841</v>
      </c>
      <c r="H124" s="46">
        <f t="shared" si="2"/>
        <v>1776262</v>
      </c>
      <c r="I124" s="46">
        <f t="shared" si="2"/>
        <v>1676014</v>
      </c>
      <c r="J124" s="46">
        <f t="shared" si="2"/>
        <v>1519230</v>
      </c>
      <c r="K124" s="46"/>
      <c r="L124" s="46">
        <f t="shared" si="2"/>
        <v>11126140</v>
      </c>
    </row>
    <row r="126" spans="12:13" ht="12.75">
      <c r="L126" s="46"/>
      <c r="M126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dcterms:created xsi:type="dcterms:W3CDTF">1996-10-14T23:33:28Z</dcterms:created>
  <dcterms:modified xsi:type="dcterms:W3CDTF">2008-10-02T18:54:05Z</dcterms:modified>
  <cp:category/>
  <cp:version/>
  <cp:contentType/>
  <cp:contentStatus/>
</cp:coreProperties>
</file>